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ktg vet rend mod  intézm\2018\október\"/>
    </mc:Choice>
  </mc:AlternateContent>
  <bookViews>
    <workbookView xWindow="0" yWindow="0" windowWidth="25200" windowHeight="12135" tabRatio="597"/>
  </bookViews>
  <sheets>
    <sheet name="Össz.önkor.mérleg." sheetId="47" r:id="rId1"/>
    <sheet name="működ. mérleg " sheetId="48" state="hidden" r:id="rId2"/>
    <sheet name="felhalm. mérleg" sheetId="49" state="hidden" r:id="rId3"/>
    <sheet name="2018 évi állami tám" sheetId="67" state="hidden" r:id="rId4"/>
    <sheet name="2016 állami tám " sheetId="58" state="hidden" r:id="rId5"/>
    <sheet name="közhatalmi bevételek" sheetId="14" state="hidden" r:id="rId6"/>
    <sheet name="tám, végl. pe.átv  " sheetId="5" state="hidden" r:id="rId7"/>
    <sheet name="állami támog" sheetId="70" state="hidden" r:id="rId8"/>
    <sheet name="felh. bev.  " sheetId="6" state="hidden" r:id="rId9"/>
    <sheet name="mc.pe.átad" sheetId="7" state="hidden" r:id="rId10"/>
    <sheet name="felhalm. kiad.  " sheetId="8" state="hidden" r:id="rId11"/>
    <sheet name="tartalék" sheetId="10" state="hidden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state="hidden" r:id="rId16"/>
    <sheet name="ellátottak önk." sheetId="63" state="hidden" r:id="rId17"/>
    <sheet name="ellátottak hivatal" sheetId="18" state="hidden" r:id="rId18"/>
    <sheet name="püm. GAMESZ. " sheetId="44" r:id="rId19"/>
    <sheet name="püm.Brunszvik" sheetId="51" r:id="rId20"/>
    <sheet name="püm Festetics" sheetId="64" r:id="rId21"/>
    <sheet name="püm-TASZII." sheetId="42" r:id="rId22"/>
    <sheet name="Munka2" sheetId="72" state="hidden" r:id="rId23"/>
    <sheet name="likvid" sheetId="24" state="hidden" r:id="rId24"/>
    <sheet name="Munka1" sheetId="73" state="hidden" r:id="rId25"/>
    <sheet name="létszám" sheetId="68" state="hidden" r:id="rId26"/>
    <sheet name="Kötváll Ph." sheetId="65" state="hidden" r:id="rId27"/>
    <sheet name="Kötváll Önk" sheetId="66" state="hidden" r:id="rId28"/>
    <sheet name="kötváll. " sheetId="56" state="hidden" r:id="rId29"/>
    <sheet name="közvetett t." sheetId="54" state="hidden" r:id="rId30"/>
    <sheet name="hitelállomány " sheetId="55" state="hidden" r:id="rId31"/>
  </sheets>
  <definedNames>
    <definedName name="Excel_BuiltIn_Print_Titles" localSheetId="16">'ellátottak önk.'!$B$8:$IM$9</definedName>
    <definedName name="Excel_BuiltIn_Print_Titles" localSheetId="25">#REF!</definedName>
    <definedName name="Excel_BuiltIn_Print_Titles">#REF!</definedName>
    <definedName name="_xlnm.Print_Titles" localSheetId="16">'ellátottak önk.'!$8:$9</definedName>
    <definedName name="_xlnm.Print_Titles" localSheetId="8">'felh. bev.  '!$7:$8</definedName>
    <definedName name="_xlnm.Print_Titles" localSheetId="10">'felhalm. kiad.  '!$5:$9</definedName>
    <definedName name="_xlnm.Print_Titles" localSheetId="28">'kötváll. '!$7:$8</definedName>
    <definedName name="_xlnm.Print_Titles" localSheetId="25">létszám!$5:$8</definedName>
    <definedName name="_xlnm.Print_Titles" localSheetId="9">mc.pe.átad!$7:$8</definedName>
    <definedName name="_xlnm.Print_Titles" localSheetId="15">'műk. kiad. szakf Önkorm. '!$5:$9</definedName>
    <definedName name="_xlnm.Print_Titles" localSheetId="6">'tám, végl. pe.átv  '!$7:$7</definedName>
  </definedNames>
  <calcPr calcId="152511"/>
</workbook>
</file>

<file path=xl/calcChain.xml><?xml version="1.0" encoding="utf-8"?>
<calcChain xmlns="http://schemas.openxmlformats.org/spreadsheetml/2006/main">
  <c r="A31" i="47" l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F55" i="47" l="1"/>
  <c r="G55" i="47"/>
  <c r="H55" i="47"/>
  <c r="I55" i="47"/>
  <c r="J55" i="47"/>
  <c r="F54" i="47"/>
  <c r="G54" i="47"/>
  <c r="I54" i="47"/>
  <c r="J42" i="47"/>
  <c r="J43" i="47"/>
  <c r="J44" i="47"/>
  <c r="J45" i="47"/>
  <c r="I42" i="47"/>
  <c r="I43" i="47"/>
  <c r="I44" i="47"/>
  <c r="I45" i="47"/>
  <c r="I46" i="47"/>
  <c r="H42" i="47"/>
  <c r="H43" i="47"/>
  <c r="H44" i="47"/>
  <c r="H45" i="47"/>
  <c r="H46" i="47"/>
  <c r="J46" i="47" s="1"/>
  <c r="J54" i="47" s="1"/>
  <c r="J41" i="47"/>
  <c r="I41" i="47"/>
  <c r="H41" i="47"/>
  <c r="G35" i="47"/>
  <c r="H35" i="47"/>
  <c r="I35" i="47"/>
  <c r="J35" i="47"/>
  <c r="F35" i="47"/>
  <c r="F34" i="47"/>
  <c r="G34" i="47"/>
  <c r="H34" i="47"/>
  <c r="I34" i="47"/>
  <c r="J34" i="47"/>
  <c r="F33" i="47"/>
  <c r="G33" i="47"/>
  <c r="H33" i="47"/>
  <c r="I33" i="47"/>
  <c r="J33" i="47"/>
  <c r="J13" i="47"/>
  <c r="J15" i="47"/>
  <c r="J16" i="47"/>
  <c r="J17" i="47"/>
  <c r="J20" i="47"/>
  <c r="J24" i="47"/>
  <c r="J25" i="47"/>
  <c r="J26" i="47"/>
  <c r="J29" i="47"/>
  <c r="J30" i="47"/>
  <c r="I13" i="47"/>
  <c r="I15" i="47"/>
  <c r="I16" i="47"/>
  <c r="I17" i="47"/>
  <c r="I20" i="47"/>
  <c r="I24" i="47"/>
  <c r="I25" i="47"/>
  <c r="I26" i="47"/>
  <c r="I29" i="47"/>
  <c r="I30" i="47"/>
  <c r="H13" i="47"/>
  <c r="H15" i="47"/>
  <c r="H16" i="47"/>
  <c r="H17" i="47"/>
  <c r="H20" i="47"/>
  <c r="H24" i="47"/>
  <c r="H25" i="47"/>
  <c r="H26" i="47"/>
  <c r="H29" i="47"/>
  <c r="H30" i="47"/>
  <c r="J11" i="47"/>
  <c r="I11" i="47"/>
  <c r="H11" i="47"/>
  <c r="O55" i="47"/>
  <c r="P55" i="47"/>
  <c r="Q55" i="47"/>
  <c r="R55" i="47"/>
  <c r="S55" i="47"/>
  <c r="O54" i="47"/>
  <c r="P54" i="47"/>
  <c r="Q54" i="47"/>
  <c r="R54" i="47"/>
  <c r="S54" i="47"/>
  <c r="S47" i="47"/>
  <c r="R47" i="47"/>
  <c r="Q47" i="47"/>
  <c r="O35" i="47"/>
  <c r="P35" i="47"/>
  <c r="Q35" i="47"/>
  <c r="R35" i="47"/>
  <c r="S35" i="47"/>
  <c r="O34" i="47"/>
  <c r="P34" i="47"/>
  <c r="Q34" i="47"/>
  <c r="R34" i="47"/>
  <c r="S34" i="47"/>
  <c r="S29" i="47"/>
  <c r="S31" i="47"/>
  <c r="R29" i="47"/>
  <c r="R30" i="47"/>
  <c r="R31" i="47"/>
  <c r="R32" i="47"/>
  <c r="S32" i="47" s="1"/>
  <c r="R33" i="47"/>
  <c r="S33" i="47" s="1"/>
  <c r="Q29" i="47"/>
  <c r="Q30" i="47"/>
  <c r="S30" i="47" s="1"/>
  <c r="Q31" i="47"/>
  <c r="Q32" i="47"/>
  <c r="Q33" i="47"/>
  <c r="Q20" i="47"/>
  <c r="O24" i="47"/>
  <c r="P24" i="47"/>
  <c r="O55" i="46"/>
  <c r="P55" i="46"/>
  <c r="Q55" i="46"/>
  <c r="R55" i="46"/>
  <c r="S55" i="46"/>
  <c r="O54" i="46"/>
  <c r="P54" i="46"/>
  <c r="Q54" i="46"/>
  <c r="R54" i="46"/>
  <c r="S54" i="46"/>
  <c r="S48" i="46"/>
  <c r="S49" i="46"/>
  <c r="R48" i="46"/>
  <c r="R49" i="46"/>
  <c r="R50" i="46"/>
  <c r="Q48" i="46"/>
  <c r="Q49" i="46"/>
  <c r="Q50" i="46"/>
  <c r="S50" i="46" s="1"/>
  <c r="S47" i="46"/>
  <c r="R47" i="46"/>
  <c r="Q47" i="46"/>
  <c r="O35" i="46"/>
  <c r="P35" i="46"/>
  <c r="Q35" i="46"/>
  <c r="R35" i="46"/>
  <c r="S35" i="46"/>
  <c r="S28" i="46"/>
  <c r="S29" i="46"/>
  <c r="S30" i="46"/>
  <c r="S31" i="46"/>
  <c r="S32" i="46"/>
  <c r="R28" i="46"/>
  <c r="R29" i="46"/>
  <c r="R30" i="46"/>
  <c r="R31" i="46"/>
  <c r="R32" i="46"/>
  <c r="R33" i="46"/>
  <c r="S33" i="46" s="1"/>
  <c r="Q28" i="46"/>
  <c r="Q29" i="46"/>
  <c r="Q30" i="46"/>
  <c r="Q31" i="46"/>
  <c r="Q32" i="46"/>
  <c r="Q33" i="46"/>
  <c r="S27" i="46"/>
  <c r="R27" i="46"/>
  <c r="Q27" i="46"/>
  <c r="O34" i="46"/>
  <c r="P34" i="46"/>
  <c r="Q34" i="46"/>
  <c r="H54" i="47" l="1"/>
  <c r="S34" i="46"/>
  <c r="R34" i="46"/>
  <c r="O24" i="46" l="1"/>
  <c r="P24" i="46"/>
  <c r="I46" i="46"/>
  <c r="J46" i="46" s="1"/>
  <c r="H54" i="46"/>
  <c r="H46" i="46"/>
  <c r="F55" i="46"/>
  <c r="G55" i="46"/>
  <c r="F54" i="46"/>
  <c r="G54" i="46"/>
  <c r="J44" i="46"/>
  <c r="I44" i="46"/>
  <c r="H44" i="46"/>
  <c r="J41" i="46"/>
  <c r="I41" i="46"/>
  <c r="H41" i="46"/>
  <c r="F37" i="46"/>
  <c r="G37" i="46"/>
  <c r="G35" i="46"/>
  <c r="F35" i="46"/>
  <c r="F34" i="46"/>
  <c r="G34" i="46"/>
  <c r="F33" i="46"/>
  <c r="G33" i="46"/>
  <c r="J12" i="46"/>
  <c r="J16" i="46"/>
  <c r="J27" i="46"/>
  <c r="J28" i="46"/>
  <c r="I12" i="46"/>
  <c r="I15" i="46"/>
  <c r="I16" i="46"/>
  <c r="I18" i="46"/>
  <c r="I19" i="46"/>
  <c r="I20" i="46"/>
  <c r="I21" i="46"/>
  <c r="I22" i="46"/>
  <c r="J22" i="46" s="1"/>
  <c r="I23" i="46"/>
  <c r="I27" i="46"/>
  <c r="I28" i="46"/>
  <c r="H12" i="46"/>
  <c r="H16" i="46"/>
  <c r="H18" i="46"/>
  <c r="J18" i="46" s="1"/>
  <c r="H19" i="46"/>
  <c r="J19" i="46" s="1"/>
  <c r="H20" i="46"/>
  <c r="J20" i="46" s="1"/>
  <c r="H21" i="46"/>
  <c r="J21" i="46" s="1"/>
  <c r="H22" i="46"/>
  <c r="H23" i="46"/>
  <c r="J23" i="46" s="1"/>
  <c r="H24" i="46"/>
  <c r="H27" i="46"/>
  <c r="H28" i="46"/>
  <c r="F54" i="42"/>
  <c r="G54" i="42"/>
  <c r="H54" i="42"/>
  <c r="I54" i="42"/>
  <c r="J54" i="42"/>
  <c r="F53" i="42"/>
  <c r="G53" i="42"/>
  <c r="H53" i="42"/>
  <c r="I53" i="42"/>
  <c r="J53" i="42"/>
  <c r="F49" i="42"/>
  <c r="G49" i="42"/>
  <c r="H49" i="42"/>
  <c r="I49" i="42"/>
  <c r="J49" i="42"/>
  <c r="F48" i="42"/>
  <c r="G48" i="42"/>
  <c r="H48" i="42"/>
  <c r="I48" i="42"/>
  <c r="J48" i="42"/>
  <c r="O54" i="42"/>
  <c r="P54" i="42"/>
  <c r="Q54" i="42"/>
  <c r="R54" i="42"/>
  <c r="S54" i="42"/>
  <c r="O53" i="42"/>
  <c r="P53" i="42"/>
  <c r="Q53" i="42"/>
  <c r="R53" i="42"/>
  <c r="S53" i="42"/>
  <c r="O34" i="42"/>
  <c r="P34" i="42"/>
  <c r="Q34" i="42"/>
  <c r="R34" i="42"/>
  <c r="S34" i="42"/>
  <c r="O33" i="42"/>
  <c r="P33" i="42"/>
  <c r="Q33" i="42"/>
  <c r="R33" i="42"/>
  <c r="S33" i="42"/>
  <c r="S27" i="42"/>
  <c r="R27" i="42"/>
  <c r="Q27" i="42"/>
  <c r="O24" i="42"/>
  <c r="P24" i="42"/>
  <c r="Q24" i="42"/>
  <c r="R24" i="42"/>
  <c r="S24" i="42"/>
  <c r="S13" i="42"/>
  <c r="S14" i="42"/>
  <c r="S12" i="42"/>
  <c r="R13" i="42"/>
  <c r="R14" i="42"/>
  <c r="Q13" i="42"/>
  <c r="Q14" i="42"/>
  <c r="R12" i="42"/>
  <c r="Q12" i="42"/>
  <c r="J43" i="42"/>
  <c r="H43" i="42"/>
  <c r="G34" i="42"/>
  <c r="H34" i="42"/>
  <c r="I34" i="42"/>
  <c r="J34" i="42"/>
  <c r="F34" i="42"/>
  <c r="F33" i="42"/>
  <c r="G33" i="42"/>
  <c r="H33" i="42"/>
  <c r="I33" i="42"/>
  <c r="J33" i="42"/>
  <c r="F32" i="42"/>
  <c r="G32" i="42"/>
  <c r="H32" i="42"/>
  <c r="I32" i="42"/>
  <c r="J32" i="42"/>
  <c r="J20" i="42"/>
  <c r="J25" i="42"/>
  <c r="I20" i="42"/>
  <c r="I25" i="42"/>
  <c r="H20" i="42"/>
  <c r="H25" i="42"/>
  <c r="J14" i="42"/>
  <c r="I14" i="42"/>
  <c r="H14" i="42"/>
  <c r="F54" i="64"/>
  <c r="G54" i="64"/>
  <c r="H54" i="64"/>
  <c r="I54" i="64"/>
  <c r="J54" i="64"/>
  <c r="F53" i="64"/>
  <c r="G53" i="64"/>
  <c r="H53" i="64"/>
  <c r="I53" i="64"/>
  <c r="J53" i="64"/>
  <c r="F49" i="64"/>
  <c r="G49" i="64"/>
  <c r="H49" i="64"/>
  <c r="I49" i="64"/>
  <c r="J49" i="64"/>
  <c r="F48" i="64"/>
  <c r="G48" i="64"/>
  <c r="H48" i="64"/>
  <c r="I48" i="64"/>
  <c r="J48" i="64"/>
  <c r="O54" i="64"/>
  <c r="P54" i="64"/>
  <c r="Q54" i="64"/>
  <c r="R54" i="64"/>
  <c r="S54" i="64"/>
  <c r="O34" i="64"/>
  <c r="P34" i="64"/>
  <c r="Q34" i="64"/>
  <c r="R34" i="64"/>
  <c r="S34" i="64"/>
  <c r="O33" i="64"/>
  <c r="P33" i="64"/>
  <c r="Q33" i="64"/>
  <c r="R33" i="64"/>
  <c r="S33" i="64"/>
  <c r="S27" i="64"/>
  <c r="R27" i="64"/>
  <c r="Q27" i="64"/>
  <c r="O24" i="64"/>
  <c r="P24" i="64"/>
  <c r="Q24" i="64"/>
  <c r="R24" i="64"/>
  <c r="S24" i="64"/>
  <c r="S13" i="64"/>
  <c r="S14" i="64"/>
  <c r="S12" i="64"/>
  <c r="R13" i="64"/>
  <c r="R14" i="64"/>
  <c r="Q13" i="64"/>
  <c r="Q14" i="64"/>
  <c r="R12" i="64"/>
  <c r="Q12" i="64"/>
  <c r="J43" i="64"/>
  <c r="I43" i="64"/>
  <c r="H43" i="64"/>
  <c r="G34" i="64"/>
  <c r="H34" i="64"/>
  <c r="I34" i="64"/>
  <c r="J34" i="64"/>
  <c r="F34" i="64"/>
  <c r="F32" i="64"/>
  <c r="G32" i="64"/>
  <c r="H32" i="64"/>
  <c r="I32" i="64"/>
  <c r="J32" i="64"/>
  <c r="J29" i="64"/>
  <c r="I29" i="64"/>
  <c r="J20" i="64"/>
  <c r="I20" i="64"/>
  <c r="H20" i="64"/>
  <c r="J14" i="64"/>
  <c r="I14" i="64"/>
  <c r="F54" i="51"/>
  <c r="G54" i="51"/>
  <c r="H54" i="51"/>
  <c r="I54" i="51"/>
  <c r="J54" i="51"/>
  <c r="F53" i="51"/>
  <c r="G53" i="51"/>
  <c r="H53" i="51"/>
  <c r="I53" i="51"/>
  <c r="J53" i="51"/>
  <c r="F49" i="51"/>
  <c r="G49" i="51"/>
  <c r="H49" i="51"/>
  <c r="I49" i="51"/>
  <c r="J49" i="51"/>
  <c r="F48" i="51"/>
  <c r="G48" i="51"/>
  <c r="H48" i="51"/>
  <c r="I48" i="51"/>
  <c r="J48" i="51"/>
  <c r="O54" i="51"/>
  <c r="P54" i="51"/>
  <c r="Q54" i="51"/>
  <c r="R54" i="51"/>
  <c r="S54" i="51"/>
  <c r="O34" i="51"/>
  <c r="P34" i="51"/>
  <c r="Q34" i="51"/>
  <c r="R34" i="51"/>
  <c r="S34" i="51"/>
  <c r="O33" i="51"/>
  <c r="P33" i="51"/>
  <c r="Q33" i="51"/>
  <c r="R33" i="51"/>
  <c r="S33" i="51"/>
  <c r="S27" i="51"/>
  <c r="Q27" i="51"/>
  <c r="O24" i="51"/>
  <c r="P24" i="51"/>
  <c r="S13" i="51"/>
  <c r="S14" i="51"/>
  <c r="R13" i="51"/>
  <c r="R14" i="51"/>
  <c r="R24" i="51"/>
  <c r="Q24" i="51"/>
  <c r="S24" i="51" s="1"/>
  <c r="Q13" i="51"/>
  <c r="Q14" i="51"/>
  <c r="S12" i="51"/>
  <c r="R12" i="51"/>
  <c r="Q12" i="51"/>
  <c r="J43" i="51"/>
  <c r="I43" i="51"/>
  <c r="H43" i="51"/>
  <c r="G34" i="51"/>
  <c r="H34" i="51"/>
  <c r="I34" i="51"/>
  <c r="J34" i="51"/>
  <c r="F34" i="51"/>
  <c r="G32" i="51"/>
  <c r="H32" i="51"/>
  <c r="I32" i="51"/>
  <c r="J32" i="51"/>
  <c r="F32" i="51"/>
  <c r="J20" i="51"/>
  <c r="H20" i="51"/>
  <c r="J54" i="46" l="1"/>
  <c r="I54" i="46"/>
  <c r="F54" i="44"/>
  <c r="G54" i="44"/>
  <c r="H54" i="44"/>
  <c r="I54" i="44"/>
  <c r="J54" i="44"/>
  <c r="F53" i="44"/>
  <c r="G53" i="44"/>
  <c r="H53" i="44"/>
  <c r="I53" i="44"/>
  <c r="J53" i="44"/>
  <c r="F49" i="44"/>
  <c r="G49" i="44"/>
  <c r="H49" i="44"/>
  <c r="I49" i="44"/>
  <c r="J49" i="44"/>
  <c r="F48" i="44"/>
  <c r="G48" i="44"/>
  <c r="H48" i="44"/>
  <c r="I48" i="44"/>
  <c r="J48" i="44"/>
  <c r="J43" i="44"/>
  <c r="I43" i="44"/>
  <c r="H43" i="44"/>
  <c r="O54" i="44"/>
  <c r="P54" i="44"/>
  <c r="Q54" i="44"/>
  <c r="R54" i="44"/>
  <c r="S54" i="44"/>
  <c r="O34" i="44"/>
  <c r="P34" i="44"/>
  <c r="Q34" i="44"/>
  <c r="R34" i="44"/>
  <c r="S34" i="44"/>
  <c r="O33" i="44"/>
  <c r="P33" i="44"/>
  <c r="Q33" i="44"/>
  <c r="R33" i="44"/>
  <c r="S33" i="44"/>
  <c r="S27" i="44"/>
  <c r="R27" i="44"/>
  <c r="Q27" i="44"/>
  <c r="O24" i="44"/>
  <c r="P24" i="44"/>
  <c r="Q24" i="44"/>
  <c r="R24" i="44"/>
  <c r="S24" i="44"/>
  <c r="S13" i="44"/>
  <c r="S14" i="44"/>
  <c r="R13" i="44"/>
  <c r="R14" i="44"/>
  <c r="Q13" i="44"/>
  <c r="Q14" i="44"/>
  <c r="S12" i="44"/>
  <c r="R12" i="44"/>
  <c r="Q12" i="44"/>
  <c r="I32" i="44"/>
  <c r="I34" i="44"/>
  <c r="J34" i="44" s="1"/>
  <c r="H34" i="44"/>
  <c r="G34" i="44"/>
  <c r="F34" i="44"/>
  <c r="F32" i="44"/>
  <c r="G32" i="44"/>
  <c r="J20" i="44"/>
  <c r="I20" i="44"/>
  <c r="H20" i="44"/>
  <c r="H32" i="44"/>
  <c r="J14" i="44"/>
  <c r="I14" i="44"/>
  <c r="H14" i="44"/>
  <c r="H49" i="45"/>
  <c r="G49" i="45"/>
  <c r="J43" i="45"/>
  <c r="I43" i="45"/>
  <c r="G34" i="45"/>
  <c r="G32" i="45"/>
  <c r="H32" i="45"/>
  <c r="H34" i="45" s="1"/>
  <c r="J14" i="45"/>
  <c r="Q24" i="45"/>
  <c r="Q54" i="45" s="1"/>
  <c r="P24" i="45"/>
  <c r="G48" i="45" s="1"/>
  <c r="G53" i="45" s="1"/>
  <c r="S13" i="45"/>
  <c r="T13" i="45" s="1"/>
  <c r="S14" i="45"/>
  <c r="S15" i="45"/>
  <c r="S17" i="45"/>
  <c r="T17" i="45" s="1"/>
  <c r="S19" i="45"/>
  <c r="S20" i="45"/>
  <c r="T20" i="45" s="1"/>
  <c r="S21" i="45"/>
  <c r="T21" i="45" s="1"/>
  <c r="S22" i="45"/>
  <c r="S23" i="45"/>
  <c r="R13" i="45"/>
  <c r="R14" i="45"/>
  <c r="T14" i="45" s="1"/>
  <c r="R15" i="45"/>
  <c r="R17" i="45"/>
  <c r="R19" i="45"/>
  <c r="R20" i="45"/>
  <c r="R21" i="45"/>
  <c r="R22" i="45"/>
  <c r="T22" i="45" s="1"/>
  <c r="R23" i="45"/>
  <c r="S12" i="45"/>
  <c r="R12" i="45"/>
  <c r="G54" i="45" l="1"/>
  <c r="T12" i="45"/>
  <c r="T23" i="45"/>
  <c r="T19" i="45"/>
  <c r="T15" i="45"/>
  <c r="P34" i="45"/>
  <c r="K43" i="45"/>
  <c r="Q34" i="45"/>
  <c r="P54" i="45"/>
  <c r="H48" i="45"/>
  <c r="H53" i="45" s="1"/>
  <c r="H54" i="45" s="1"/>
  <c r="J32" i="44"/>
  <c r="D29" i="6"/>
  <c r="E29" i="6"/>
  <c r="F56" i="7" l="1"/>
  <c r="A12" i="49" l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D19" i="49"/>
  <c r="E19" i="49"/>
  <c r="D46" i="47" l="1"/>
  <c r="D37" i="48" s="1"/>
  <c r="C46" i="47"/>
  <c r="C37" i="48" s="1"/>
  <c r="D25" i="47"/>
  <c r="D16" i="47"/>
  <c r="D13" i="49" s="1"/>
  <c r="C16" i="47"/>
  <c r="C13" i="49" s="1"/>
  <c r="D15" i="47"/>
  <c r="D12" i="49" s="1"/>
  <c r="E46" i="46"/>
  <c r="E46" i="47" s="1"/>
  <c r="E37" i="48" s="1"/>
  <c r="E16" i="46"/>
  <c r="C21" i="10" l="1"/>
  <c r="E19" i="10"/>
  <c r="P131" i="8"/>
  <c r="J130" i="8"/>
  <c r="P130" i="8" s="1"/>
  <c r="G91" i="8"/>
  <c r="M91" i="8"/>
  <c r="D91" i="8"/>
  <c r="J87" i="8"/>
  <c r="J91" i="8" s="1"/>
  <c r="J53" i="8"/>
  <c r="M53" i="8" s="1"/>
  <c r="J52" i="8"/>
  <c r="M52" i="8" s="1"/>
  <c r="J24" i="8"/>
  <c r="M24" i="8" s="1"/>
  <c r="G20" i="8"/>
  <c r="P20" i="8"/>
  <c r="D20" i="8"/>
  <c r="J14" i="8"/>
  <c r="M14" i="8" s="1"/>
  <c r="J13" i="8"/>
  <c r="M13" i="8" s="1"/>
  <c r="E66" i="7"/>
  <c r="E68" i="7" s="1"/>
  <c r="D66" i="7"/>
  <c r="D68" i="7" s="1"/>
  <c r="F65" i="7"/>
  <c r="F66" i="7" s="1"/>
  <c r="F68" i="7" s="1"/>
  <c r="F55" i="7"/>
  <c r="E44" i="6"/>
  <c r="E45" i="6" s="1"/>
  <c r="D44" i="6"/>
  <c r="D45" i="6" s="1"/>
  <c r="F43" i="6"/>
  <c r="F44" i="6" s="1"/>
  <c r="F45" i="6" s="1"/>
  <c r="E24" i="6"/>
  <c r="D24" i="6"/>
  <c r="C15" i="46" s="1"/>
  <c r="F23" i="6"/>
  <c r="F24" i="6" s="1"/>
  <c r="C21" i="5"/>
  <c r="E29" i="5"/>
  <c r="D21" i="5"/>
  <c r="E15" i="46" l="1"/>
  <c r="E15" i="47" s="1"/>
  <c r="E12" i="49" s="1"/>
  <c r="H15" i="46"/>
  <c r="J20" i="8"/>
  <c r="M20" i="8"/>
  <c r="N18" i="45"/>
  <c r="S18" i="45" s="1"/>
  <c r="M18" i="45"/>
  <c r="R18" i="45" s="1"/>
  <c r="O18" i="45"/>
  <c r="C15" i="47"/>
  <c r="C12" i="49" s="1"/>
  <c r="P87" i="8"/>
  <c r="P91" i="8" s="1"/>
  <c r="AC106" i="68"/>
  <c r="Z106" i="68"/>
  <c r="Y106" i="68"/>
  <c r="U106" i="68"/>
  <c r="L106" i="68"/>
  <c r="K106" i="68"/>
  <c r="H106" i="68"/>
  <c r="G106" i="68"/>
  <c r="F106" i="68"/>
  <c r="D106" i="68"/>
  <c r="C106" i="68"/>
  <c r="AE104" i="68"/>
  <c r="V104" i="68"/>
  <c r="V106" i="68" s="1"/>
  <c r="P104" i="68"/>
  <c r="P106" i="68" s="1"/>
  <c r="O104" i="68"/>
  <c r="O106" i="68" s="1"/>
  <c r="N104" i="68"/>
  <c r="N106" i="68" s="1"/>
  <c r="M104" i="68"/>
  <c r="J104" i="68"/>
  <c r="J106" i="68" s="1"/>
  <c r="E104" i="68"/>
  <c r="C104" i="68"/>
  <c r="AA101" i="68"/>
  <c r="X101" i="68"/>
  <c r="T101" i="68"/>
  <c r="AB101" i="68" s="1"/>
  <c r="S101" i="68"/>
  <c r="P101" i="68"/>
  <c r="Q101" i="68" s="1"/>
  <c r="AF100" i="68"/>
  <c r="AB100" i="68"/>
  <c r="Q100" i="68"/>
  <c r="AF99" i="68"/>
  <c r="AB99" i="68"/>
  <c r="W99" i="68"/>
  <c r="T99" i="68"/>
  <c r="Q99" i="68"/>
  <c r="T98" i="68"/>
  <c r="AB98" i="68" s="1"/>
  <c r="Q98" i="68"/>
  <c r="W98" i="68" s="1"/>
  <c r="AA93" i="68"/>
  <c r="X93" i="68"/>
  <c r="S93" i="68"/>
  <c r="R93" i="68"/>
  <c r="Q93" i="68"/>
  <c r="W93" i="68" s="1"/>
  <c r="P93" i="68"/>
  <c r="AB92" i="68"/>
  <c r="T92" i="68"/>
  <c r="T93" i="68" s="1"/>
  <c r="AB93" i="68" s="1"/>
  <c r="Q92" i="68"/>
  <c r="W92" i="68" s="1"/>
  <c r="AF92" i="68" s="1"/>
  <c r="AB91" i="68"/>
  <c r="Q91" i="68"/>
  <c r="W91" i="68" s="1"/>
  <c r="AF91" i="68" s="1"/>
  <c r="AB90" i="68"/>
  <c r="Q90" i="68"/>
  <c r="W90" i="68" s="1"/>
  <c r="AF90" i="68" s="1"/>
  <c r="AB89" i="68"/>
  <c r="Q89" i="68"/>
  <c r="W89" i="68" s="1"/>
  <c r="AF89" i="68" s="1"/>
  <c r="AB87" i="68"/>
  <c r="Q87" i="68"/>
  <c r="W87" i="68" s="1"/>
  <c r="AF87" i="68" s="1"/>
  <c r="AB86" i="68"/>
  <c r="Q86" i="68"/>
  <c r="W86" i="68" s="1"/>
  <c r="AF86" i="68" s="1"/>
  <c r="AB85" i="68"/>
  <c r="Q85" i="68"/>
  <c r="W85" i="68" s="1"/>
  <c r="AF85" i="68" s="1"/>
  <c r="AB84" i="68"/>
  <c r="Q84" i="68"/>
  <c r="W84" i="68" s="1"/>
  <c r="AF84" i="68" s="1"/>
  <c r="AB83" i="68"/>
  <c r="Q83" i="68"/>
  <c r="W83" i="68" s="1"/>
  <c r="AF83" i="68" s="1"/>
  <c r="AB82" i="68"/>
  <c r="Q82" i="68"/>
  <c r="W82" i="68" s="1"/>
  <c r="AF82" i="68" s="1"/>
  <c r="AB81" i="68"/>
  <c r="Q81" i="68"/>
  <c r="W81" i="68" s="1"/>
  <c r="AF81" i="68" s="1"/>
  <c r="AB80" i="68"/>
  <c r="Q80" i="68"/>
  <c r="W80" i="68" s="1"/>
  <c r="AF80" i="68" s="1"/>
  <c r="AB78" i="68"/>
  <c r="Q78" i="68"/>
  <c r="W78" i="68" s="1"/>
  <c r="AF78" i="68" s="1"/>
  <c r="AB77" i="68"/>
  <c r="Q77" i="68"/>
  <c r="W77" i="68" s="1"/>
  <c r="AF77" i="68" s="1"/>
  <c r="AB76" i="68"/>
  <c r="Q76" i="68"/>
  <c r="W76" i="68" s="1"/>
  <c r="AF76" i="68" s="1"/>
  <c r="AB75" i="68"/>
  <c r="Q75" i="68"/>
  <c r="W75" i="68" s="1"/>
  <c r="AF75" i="68" s="1"/>
  <c r="AB74" i="68"/>
  <c r="Q74" i="68"/>
  <c r="W74" i="68" s="1"/>
  <c r="AF74" i="68" s="1"/>
  <c r="AB73" i="68"/>
  <c r="Q73" i="68"/>
  <c r="W73" i="68" s="1"/>
  <c r="AF73" i="68" s="1"/>
  <c r="AB72" i="68"/>
  <c r="Q72" i="68"/>
  <c r="W72" i="68" s="1"/>
  <c r="AF72" i="68" s="1"/>
  <c r="AB71" i="68"/>
  <c r="Q71" i="68"/>
  <c r="W71" i="68" s="1"/>
  <c r="AF71" i="68" s="1"/>
  <c r="AB70" i="68"/>
  <c r="Q70" i="68"/>
  <c r="W70" i="68" s="1"/>
  <c r="AF70" i="68" s="1"/>
  <c r="R41" i="68"/>
  <c r="Q41" i="68"/>
  <c r="S40" i="68"/>
  <c r="S104" i="68" s="1"/>
  <c r="S106" i="68" s="1"/>
  <c r="R40" i="68"/>
  <c r="X40" i="68" s="1"/>
  <c r="X104" i="68" s="1"/>
  <c r="X106" i="68" s="1"/>
  <c r="P40" i="68"/>
  <c r="AB40" i="68" s="1"/>
  <c r="AB39" i="68"/>
  <c r="T39" i="68"/>
  <c r="Q39" i="68"/>
  <c r="AF39" i="68" s="1"/>
  <c r="AB38" i="68"/>
  <c r="Q38" i="68"/>
  <c r="AF38" i="68" s="1"/>
  <c r="AB37" i="68"/>
  <c r="Q37" i="68"/>
  <c r="AF37" i="68" s="1"/>
  <c r="AB36" i="68"/>
  <c r="Q36" i="68"/>
  <c r="AF36" i="68" s="1"/>
  <c r="AB35" i="68"/>
  <c r="Q35" i="68"/>
  <c r="AF35" i="68" s="1"/>
  <c r="AB34" i="68"/>
  <c r="W34" i="68"/>
  <c r="T34" i="68"/>
  <c r="T40" i="68" s="1"/>
  <c r="T104" i="68" s="1"/>
  <c r="Q34" i="68"/>
  <c r="AF34" i="68" s="1"/>
  <c r="AB33" i="68"/>
  <c r="W33" i="68"/>
  <c r="Q33" i="68"/>
  <c r="AF33" i="68" s="1"/>
  <c r="AB32" i="68"/>
  <c r="W32" i="68"/>
  <c r="T32" i="68"/>
  <c r="Q32" i="68"/>
  <c r="AF32" i="68" s="1"/>
  <c r="AB31" i="68"/>
  <c r="T31" i="68"/>
  <c r="Q31" i="68"/>
  <c r="W31" i="68" s="1"/>
  <c r="AF30" i="68"/>
  <c r="AB30" i="68"/>
  <c r="AA30" i="68"/>
  <c r="X30" i="68"/>
  <c r="W30" i="68"/>
  <c r="Q30" i="68"/>
  <c r="AB29" i="68"/>
  <c r="W29" i="68"/>
  <c r="T29" i="68"/>
  <c r="Q29" i="68"/>
  <c r="AF29" i="68" s="1"/>
  <c r="AB28" i="68"/>
  <c r="T28" i="68"/>
  <c r="Q28" i="68"/>
  <c r="W28" i="68" s="1"/>
  <c r="T24" i="68"/>
  <c r="AB24" i="68" s="1"/>
  <c r="P24" i="68"/>
  <c r="AB23" i="68"/>
  <c r="W23" i="68"/>
  <c r="AF23" i="68" s="1"/>
  <c r="T23" i="68"/>
  <c r="Q23" i="68"/>
  <c r="W22" i="68"/>
  <c r="AF22" i="68" s="1"/>
  <c r="T22" i="68"/>
  <c r="Q22" i="68"/>
  <c r="AB21" i="68"/>
  <c r="T21" i="68"/>
  <c r="Q21" i="68"/>
  <c r="W21" i="68" s="1"/>
  <c r="AF21" i="68" s="1"/>
  <c r="T20" i="68"/>
  <c r="AB20" i="68" s="1"/>
  <c r="Q20" i="68"/>
  <c r="W20" i="68" s="1"/>
  <c r="AF20" i="68" s="1"/>
  <c r="W19" i="68"/>
  <c r="AF19" i="68" s="1"/>
  <c r="T19" i="68"/>
  <c r="AB19" i="68" s="1"/>
  <c r="Q19" i="68"/>
  <c r="AB18" i="68"/>
  <c r="W18" i="68"/>
  <c r="AF18" i="68" s="1"/>
  <c r="T18" i="68"/>
  <c r="Q18" i="68"/>
  <c r="AB17" i="68"/>
  <c r="T17" i="68"/>
  <c r="Q17" i="68"/>
  <c r="W17" i="68" s="1"/>
  <c r="AF17" i="68" s="1"/>
  <c r="T16" i="68"/>
  <c r="AB16" i="68" s="1"/>
  <c r="Q16" i="68"/>
  <c r="Q24" i="68" s="1"/>
  <c r="AE12" i="68"/>
  <c r="AB12" i="68"/>
  <c r="AF12" i="68" s="1"/>
  <c r="W12" i="68"/>
  <c r="T12" i="68"/>
  <c r="M12" i="68"/>
  <c r="M106" i="68" s="1"/>
  <c r="E12" i="68"/>
  <c r="AE10" i="68"/>
  <c r="AE106" i="68" s="1"/>
  <c r="AD10" i="68"/>
  <c r="AD106" i="68" s="1"/>
  <c r="AB10" i="68"/>
  <c r="AA10" i="68"/>
  <c r="T10" i="68"/>
  <c r="I10" i="68"/>
  <c r="I106" i="68" s="1"/>
  <c r="E10" i="68"/>
  <c r="W10" i="68" s="1"/>
  <c r="J15" i="46" l="1"/>
  <c r="T18" i="45"/>
  <c r="AB106" i="68"/>
  <c r="Q104" i="68"/>
  <c r="Q106" i="68" s="1"/>
  <c r="AB104" i="68"/>
  <c r="AF93" i="68"/>
  <c r="AA106" i="68"/>
  <c r="W101" i="68"/>
  <c r="AF101" i="68" s="1"/>
  <c r="AF98" i="68"/>
  <c r="T106" i="68"/>
  <c r="W16" i="68"/>
  <c r="W39" i="68"/>
  <c r="Q40" i="68"/>
  <c r="R104" i="68"/>
  <c r="R106" i="68" s="1"/>
  <c r="E106" i="68"/>
  <c r="AF10" i="68"/>
  <c r="AA40" i="68"/>
  <c r="AA104" i="68" s="1"/>
  <c r="AF28" i="68"/>
  <c r="AF31" i="68"/>
  <c r="W35" i="68"/>
  <c r="W36" i="68"/>
  <c r="W37" i="68"/>
  <c r="W38" i="68"/>
  <c r="G67" i="15"/>
  <c r="J67" i="15"/>
  <c r="P67" i="15"/>
  <c r="S67" i="15"/>
  <c r="AD67" i="15"/>
  <c r="AE67" i="15"/>
  <c r="D67" i="15"/>
  <c r="AH60" i="15"/>
  <c r="AH61" i="15"/>
  <c r="AH62" i="15"/>
  <c r="B59" i="15"/>
  <c r="B60" i="15" s="1"/>
  <c r="B61" i="15" s="1"/>
  <c r="B62" i="15" s="1"/>
  <c r="AF16" i="68" l="1"/>
  <c r="AF24" i="68" s="1"/>
  <c r="AF104" i="68" s="1"/>
  <c r="AF106" i="68" s="1"/>
  <c r="W24" i="68"/>
  <c r="W104" i="68" s="1"/>
  <c r="W106" i="68" s="1"/>
  <c r="AF40" i="68"/>
  <c r="W40" i="68"/>
  <c r="G20" i="63"/>
  <c r="D37" i="10"/>
  <c r="E35" i="10"/>
  <c r="C37" i="10"/>
  <c r="E18" i="10"/>
  <c r="G150" i="8"/>
  <c r="J150" i="8"/>
  <c r="M150" i="8"/>
  <c r="D150" i="8"/>
  <c r="J129" i="8"/>
  <c r="P129" i="8" s="1"/>
  <c r="J100" i="8"/>
  <c r="P100" i="8" s="1"/>
  <c r="J68" i="8"/>
  <c r="P68" i="8" s="1"/>
  <c r="D70" i="8"/>
  <c r="J51" i="8"/>
  <c r="P51" i="8" s="1"/>
  <c r="J45" i="8"/>
  <c r="P45" i="8" s="1"/>
  <c r="E59" i="7" l="1"/>
  <c r="F54" i="7"/>
  <c r="F53" i="7"/>
  <c r="F52" i="7"/>
  <c r="F37" i="7"/>
  <c r="E23" i="7"/>
  <c r="Y50" i="15" s="1"/>
  <c r="F20" i="7"/>
  <c r="G39" i="6"/>
  <c r="H39" i="6"/>
  <c r="I39" i="6"/>
  <c r="D76" i="5"/>
  <c r="E75" i="5"/>
  <c r="E59" i="5"/>
  <c r="E54" i="5"/>
  <c r="E55" i="5" s="1"/>
  <c r="D55" i="5"/>
  <c r="D56" i="5" s="1"/>
  <c r="C55" i="5"/>
  <c r="C56" i="5"/>
  <c r="D11" i="5"/>
  <c r="C11" i="5"/>
  <c r="C49" i="5"/>
  <c r="D49" i="5"/>
  <c r="E45" i="5"/>
  <c r="E43" i="5"/>
  <c r="E44" i="5"/>
  <c r="E42" i="5"/>
  <c r="E28" i="5"/>
  <c r="E56" i="5" l="1"/>
  <c r="D14" i="45"/>
  <c r="I14" i="45" s="1"/>
  <c r="E49" i="5"/>
  <c r="E71" i="7"/>
  <c r="AC50" i="15"/>
  <c r="E61" i="7"/>
  <c r="E70" i="7"/>
  <c r="H75" i="66"/>
  <c r="G75" i="66"/>
  <c r="F75" i="66"/>
  <c r="E75" i="66"/>
  <c r="A57" i="66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45" i="66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22" i="66"/>
  <c r="K14" i="45" l="1"/>
  <c r="H15" i="55"/>
  <c r="D15" i="55"/>
  <c r="C15" i="55"/>
  <c r="C44" i="47" l="1"/>
  <c r="F51" i="7"/>
  <c r="AH40" i="15"/>
  <c r="B40" i="15"/>
  <c r="B41" i="15"/>
  <c r="B42" i="15"/>
  <c r="B43" i="15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AH39" i="15"/>
  <c r="J49" i="8"/>
  <c r="M49" i="8" s="1"/>
  <c r="J32" i="8"/>
  <c r="M32" i="8" s="1"/>
  <c r="E17" i="10"/>
  <c r="AH46" i="15" l="1"/>
  <c r="C20" i="64" l="1"/>
  <c r="M47" i="46" l="1"/>
  <c r="K95" i="67" l="1"/>
  <c r="L90" i="67"/>
  <c r="I86" i="67"/>
  <c r="K89" i="67" s="1"/>
  <c r="I81" i="67"/>
  <c r="I80" i="67"/>
  <c r="I77" i="67"/>
  <c r="I75" i="67"/>
  <c r="E75" i="67"/>
  <c r="I72" i="67"/>
  <c r="E72" i="67"/>
  <c r="I69" i="67"/>
  <c r="E69" i="67"/>
  <c r="I68" i="67"/>
  <c r="I67" i="67"/>
  <c r="E66" i="67"/>
  <c r="I65" i="67"/>
  <c r="E65" i="67"/>
  <c r="I64" i="67"/>
  <c r="K78" i="67" s="1"/>
  <c r="E61" i="67"/>
  <c r="I53" i="67"/>
  <c r="I52" i="67"/>
  <c r="I49" i="67"/>
  <c r="E49" i="67"/>
  <c r="I47" i="67"/>
  <c r="E47" i="67"/>
  <c r="Q45" i="67"/>
  <c r="P45" i="67"/>
  <c r="I45" i="67"/>
  <c r="I44" i="67"/>
  <c r="E44" i="67"/>
  <c r="I43" i="67"/>
  <c r="I42" i="67"/>
  <c r="E42" i="67"/>
  <c r="I41" i="67"/>
  <c r="E41" i="67"/>
  <c r="I40" i="67"/>
  <c r="K53" i="67" s="1"/>
  <c r="E40" i="67"/>
  <c r="E34" i="67"/>
  <c r="I32" i="67"/>
  <c r="I34" i="67" s="1"/>
  <c r="E32" i="67"/>
  <c r="I31" i="67"/>
  <c r="I28" i="67"/>
  <c r="E28" i="67"/>
  <c r="I26" i="67"/>
  <c r="E26" i="67"/>
  <c r="I25" i="67"/>
  <c r="I22" i="67"/>
  <c r="I19" i="67"/>
  <c r="I16" i="67"/>
  <c r="I12" i="67"/>
  <c r="E12" i="67"/>
  <c r="E97" i="67" s="1"/>
  <c r="K35" i="67" l="1"/>
  <c r="K97" i="67"/>
  <c r="L45" i="67"/>
  <c r="F97" i="67"/>
  <c r="M115" i="8"/>
  <c r="G115" i="8"/>
  <c r="D115" i="8"/>
  <c r="P38" i="15"/>
  <c r="D50" i="8"/>
  <c r="J50" i="8" s="1"/>
  <c r="M50" i="8" s="1"/>
  <c r="F50" i="7" l="1"/>
  <c r="F49" i="7" l="1"/>
  <c r="E42" i="24" l="1"/>
  <c r="F42" i="24"/>
  <c r="G42" i="24"/>
  <c r="H42" i="24"/>
  <c r="I42" i="24"/>
  <c r="J42" i="24"/>
  <c r="K42" i="24"/>
  <c r="L42" i="24"/>
  <c r="M42" i="24"/>
  <c r="N42" i="24"/>
  <c r="D42" i="24"/>
  <c r="J82" i="8" l="1"/>
  <c r="P82" i="8" s="1"/>
  <c r="C80" i="5"/>
  <c r="E44" i="46"/>
  <c r="D23" i="7" l="1"/>
  <c r="F19" i="7"/>
  <c r="D70" i="7" l="1"/>
  <c r="J99" i="8"/>
  <c r="P99" i="8" s="1"/>
  <c r="J67" i="8" l="1"/>
  <c r="P67" i="8" s="1"/>
  <c r="P70" i="8" s="1"/>
  <c r="J30" i="8" l="1"/>
  <c r="C25" i="47" l="1"/>
  <c r="C33" i="42"/>
  <c r="K95" i="70" l="1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K78" i="70" s="1"/>
  <c r="E61" i="70"/>
  <c r="I53" i="70"/>
  <c r="I52" i="70"/>
  <c r="I49" i="70"/>
  <c r="E49" i="70"/>
  <c r="I47" i="70"/>
  <c r="E47" i="70"/>
  <c r="Q45" i="70"/>
  <c r="P45" i="70"/>
  <c r="I45" i="70"/>
  <c r="I44" i="70"/>
  <c r="E44" i="70"/>
  <c r="I43" i="70"/>
  <c r="I42" i="70"/>
  <c r="E42" i="70"/>
  <c r="I41" i="70"/>
  <c r="E41" i="70"/>
  <c r="I40" i="70"/>
  <c r="K53" i="70" s="1"/>
  <c r="E40" i="70"/>
  <c r="E34" i="70"/>
  <c r="I32" i="70"/>
  <c r="I34" i="70" s="1"/>
  <c r="E32" i="70"/>
  <c r="I31" i="70"/>
  <c r="I28" i="70"/>
  <c r="E28" i="70"/>
  <c r="I26" i="70"/>
  <c r="E26" i="70"/>
  <c r="I25" i="70"/>
  <c r="I22" i="70"/>
  <c r="I19" i="70"/>
  <c r="I16" i="70"/>
  <c r="I12" i="70"/>
  <c r="E12" i="70"/>
  <c r="E97" i="70" s="1"/>
  <c r="K35" i="70" l="1"/>
  <c r="K97" i="70"/>
  <c r="L45" i="70"/>
  <c r="F97" i="70"/>
  <c r="M67" i="15" l="1"/>
  <c r="S33" i="15"/>
  <c r="G117" i="8"/>
  <c r="N13" i="44"/>
  <c r="J136" i="8" l="1"/>
  <c r="M33" i="15" l="1"/>
  <c r="G33" i="15"/>
  <c r="N13" i="64" l="1"/>
  <c r="J138" i="8"/>
  <c r="M146" i="8"/>
  <c r="J144" i="8"/>
  <c r="J146" i="8" s="1"/>
  <c r="G146" i="8"/>
  <c r="D146" i="8"/>
  <c r="C31" i="48" l="1"/>
  <c r="D11" i="47"/>
  <c r="D28" i="10"/>
  <c r="D11" i="46"/>
  <c r="I11" i="46" s="1"/>
  <c r="F58" i="7" l="1"/>
  <c r="P56" i="15"/>
  <c r="S55" i="15"/>
  <c r="M55" i="15"/>
  <c r="G55" i="15"/>
  <c r="S52" i="15"/>
  <c r="P47" i="15"/>
  <c r="G42" i="15"/>
  <c r="P34" i="15"/>
  <c r="P10" i="15"/>
  <c r="C20" i="44"/>
  <c r="G125" i="8"/>
  <c r="M125" i="8"/>
  <c r="P125" i="8"/>
  <c r="D125" i="8"/>
  <c r="M119" i="8"/>
  <c r="G119" i="8"/>
  <c r="D119" i="8"/>
  <c r="J117" i="8"/>
  <c r="J66" i="8"/>
  <c r="J65" i="8"/>
  <c r="G63" i="8"/>
  <c r="J48" i="8"/>
  <c r="J39" i="8"/>
  <c r="M39" i="8" s="1"/>
  <c r="J38" i="8"/>
  <c r="M38" i="8" s="1"/>
  <c r="G34" i="8"/>
  <c r="D34" i="8"/>
  <c r="G31" i="8"/>
  <c r="G58" i="8" s="1"/>
  <c r="D31" i="8"/>
  <c r="G140" i="8"/>
  <c r="D140" i="8"/>
  <c r="C37" i="5"/>
  <c r="D37" i="5"/>
  <c r="F11" i="14"/>
  <c r="D58" i="8" l="1"/>
  <c r="E37" i="5"/>
  <c r="J47" i="8"/>
  <c r="M47" i="8" s="1"/>
  <c r="E31" i="48" l="1"/>
  <c r="C34" i="48"/>
  <c r="D44" i="47"/>
  <c r="D34" i="48" s="1"/>
  <c r="C45" i="47"/>
  <c r="C35" i="48" s="1"/>
  <c r="D45" i="47"/>
  <c r="D35" i="48" s="1"/>
  <c r="D41" i="47"/>
  <c r="D32" i="49" s="1"/>
  <c r="C41" i="47"/>
  <c r="C32" i="49" s="1"/>
  <c r="D33" i="42"/>
  <c r="E43" i="42"/>
  <c r="E25" i="42"/>
  <c r="E33" i="42" s="1"/>
  <c r="N20" i="64"/>
  <c r="E44" i="64"/>
  <c r="E45" i="47" s="1"/>
  <c r="E35" i="48" s="1"/>
  <c r="E43" i="64"/>
  <c r="D30" i="48" l="1"/>
  <c r="C30" i="48"/>
  <c r="E41" i="46"/>
  <c r="E41" i="47" s="1"/>
  <c r="B11" i="15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AH15" i="15"/>
  <c r="AH16" i="15"/>
  <c r="AH17" i="15"/>
  <c r="AH18" i="15"/>
  <c r="AH19" i="15"/>
  <c r="AH52" i="15"/>
  <c r="AH53" i="15"/>
  <c r="AH54" i="15"/>
  <c r="AH55" i="15"/>
  <c r="AH56" i="15"/>
  <c r="AH57" i="15"/>
  <c r="AH58" i="15"/>
  <c r="AH59" i="15"/>
  <c r="AH28" i="15"/>
  <c r="G102" i="8"/>
  <c r="D102" i="8"/>
  <c r="J96" i="8"/>
  <c r="M96" i="8" s="1"/>
  <c r="E30" i="48" l="1"/>
  <c r="E32" i="49"/>
  <c r="J64" i="8" l="1"/>
  <c r="J46" i="8"/>
  <c r="M46" i="8" s="1"/>
  <c r="J44" i="8"/>
  <c r="P44" i="8" s="1"/>
  <c r="J31" i="8"/>
  <c r="D27" i="8"/>
  <c r="G27" i="8"/>
  <c r="E23" i="63"/>
  <c r="H23" i="63"/>
  <c r="I23" i="63"/>
  <c r="J23" i="63"/>
  <c r="F23" i="63"/>
  <c r="G16" i="63"/>
  <c r="G17" i="63"/>
  <c r="G18" i="63"/>
  <c r="G19" i="63"/>
  <c r="G15" i="63"/>
  <c r="M64" i="8" l="1"/>
  <c r="M70" i="8" s="1"/>
  <c r="M31" i="8"/>
  <c r="E26" i="10"/>
  <c r="E16" i="10"/>
  <c r="F28" i="7"/>
  <c r="F48" i="7"/>
  <c r="F47" i="7"/>
  <c r="F31" i="7"/>
  <c r="F46" i="7"/>
  <c r="F45" i="7"/>
  <c r="F44" i="7"/>
  <c r="D33" i="5" l="1"/>
  <c r="C33" i="5"/>
  <c r="C39" i="5" s="1"/>
  <c r="D39" i="5" l="1"/>
  <c r="D51" i="5"/>
  <c r="E29" i="47"/>
  <c r="E19" i="48" s="1"/>
  <c r="E29" i="46"/>
  <c r="D29" i="47"/>
  <c r="D19" i="48" s="1"/>
  <c r="D29" i="46"/>
  <c r="I29" i="46" s="1"/>
  <c r="D80" i="5"/>
  <c r="C29" i="47"/>
  <c r="C19" i="48" s="1"/>
  <c r="C29" i="46"/>
  <c r="H29" i="46" s="1"/>
  <c r="E80" i="5"/>
  <c r="C13" i="46"/>
  <c r="H13" i="46" s="1"/>
  <c r="A31" i="48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4" i="42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44" i="5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44" i="44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44" i="64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J29" i="46" l="1"/>
  <c r="F15" i="14"/>
  <c r="F18" i="7" l="1"/>
  <c r="J98" i="8" l="1"/>
  <c r="P98" i="8" s="1"/>
  <c r="E24" i="5" l="1"/>
  <c r="J43" i="8"/>
  <c r="G133" i="8"/>
  <c r="D133" i="8"/>
  <c r="M133" i="8"/>
  <c r="L27" i="64" s="1"/>
  <c r="M43" i="8" l="1"/>
  <c r="AH51" i="15"/>
  <c r="J81" i="8" l="1"/>
  <c r="M81" i="8" s="1"/>
  <c r="J23" i="8"/>
  <c r="M23" i="8" s="1"/>
  <c r="J42" i="8" l="1"/>
  <c r="M42" i="8" s="1"/>
  <c r="J41" i="8"/>
  <c r="M41" i="8" s="1"/>
  <c r="M136" i="8" l="1"/>
  <c r="M140" i="8" l="1"/>
  <c r="L21" i="46"/>
  <c r="Q21" i="46" s="1"/>
  <c r="F43" i="7" l="1"/>
  <c r="F42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G13" i="18" l="1"/>
  <c r="E12" i="18"/>
  <c r="F17" i="18"/>
  <c r="AG22" i="15"/>
  <c r="AG20" i="15"/>
  <c r="G27" i="63"/>
  <c r="F31" i="63"/>
  <c r="E31" i="63"/>
  <c r="F28" i="63"/>
  <c r="G22" i="63"/>
  <c r="F32" i="63" l="1"/>
  <c r="E28" i="63"/>
  <c r="AF25" i="15"/>
  <c r="G13" i="63" l="1"/>
  <c r="G23" i="63"/>
  <c r="G26" i="63"/>
  <c r="G28" i="63" s="1"/>
  <c r="E32" i="63"/>
  <c r="C19" i="54" l="1"/>
  <c r="L10" i="46"/>
  <c r="L11" i="46"/>
  <c r="Q11" i="46" s="1"/>
  <c r="S11" i="46" s="1"/>
  <c r="M11" i="46"/>
  <c r="R11" i="46" s="1"/>
  <c r="M12" i="46"/>
  <c r="R12" i="46" s="1"/>
  <c r="L19" i="46"/>
  <c r="Q19" i="46" s="1"/>
  <c r="M19" i="46"/>
  <c r="R19" i="46" s="1"/>
  <c r="L12" i="46"/>
  <c r="AH13" i="15"/>
  <c r="AH10" i="15"/>
  <c r="AH11" i="15"/>
  <c r="AH12" i="15"/>
  <c r="AH25" i="15"/>
  <c r="AH49" i="15"/>
  <c r="J40" i="8"/>
  <c r="M40" i="8" s="1"/>
  <c r="J37" i="8"/>
  <c r="M37" i="8" s="1"/>
  <c r="J33" i="8"/>
  <c r="J34" i="8"/>
  <c r="M34" i="8" s="1"/>
  <c r="J35" i="8"/>
  <c r="M35" i="8" s="1"/>
  <c r="J36" i="8"/>
  <c r="P36" i="8" s="1"/>
  <c r="P58" i="8" s="1"/>
  <c r="P27" i="8"/>
  <c r="J97" i="8"/>
  <c r="P97" i="8" s="1"/>
  <c r="P102" i="8" s="1"/>
  <c r="D29" i="10"/>
  <c r="D38" i="10" s="1"/>
  <c r="E32" i="10"/>
  <c r="E37" i="10" s="1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N14" i="44"/>
  <c r="D20" i="44"/>
  <c r="N14" i="64"/>
  <c r="N14" i="42"/>
  <c r="E34" i="48"/>
  <c r="E33" i="24"/>
  <c r="F33" i="24"/>
  <c r="G33" i="24"/>
  <c r="H33" i="24"/>
  <c r="I33" i="24"/>
  <c r="J33" i="24"/>
  <c r="K33" i="24"/>
  <c r="L33" i="24"/>
  <c r="M33" i="24"/>
  <c r="N33" i="24"/>
  <c r="D33" i="24"/>
  <c r="F19" i="24"/>
  <c r="G19" i="24"/>
  <c r="H19" i="24"/>
  <c r="I19" i="24"/>
  <c r="I22" i="24" s="1"/>
  <c r="J19" i="24"/>
  <c r="K19" i="24"/>
  <c r="L19" i="24"/>
  <c r="L22" i="24" s="1"/>
  <c r="M19" i="24"/>
  <c r="F14" i="24"/>
  <c r="I14" i="24"/>
  <c r="J14" i="24"/>
  <c r="K14" i="24"/>
  <c r="E14" i="24"/>
  <c r="L14" i="24"/>
  <c r="D14" i="24"/>
  <c r="G14" i="24"/>
  <c r="M14" i="24"/>
  <c r="H41" i="65"/>
  <c r="G41" i="65"/>
  <c r="F41" i="65"/>
  <c r="L27" i="44"/>
  <c r="L33" i="44" s="1"/>
  <c r="C49" i="44" s="1"/>
  <c r="L33" i="64"/>
  <c r="E20" i="42"/>
  <c r="M27" i="45"/>
  <c r="N53" i="64"/>
  <c r="M53" i="64"/>
  <c r="L53" i="64"/>
  <c r="D32" i="64"/>
  <c r="D34" i="64" s="1"/>
  <c r="C32" i="64"/>
  <c r="C34" i="64" s="1"/>
  <c r="L24" i="64"/>
  <c r="E20" i="64"/>
  <c r="E18" i="64"/>
  <c r="E16" i="64"/>
  <c r="E14" i="64"/>
  <c r="E13" i="64"/>
  <c r="N12" i="64"/>
  <c r="E12" i="64"/>
  <c r="A12" i="64"/>
  <c r="A13" i="64"/>
  <c r="A14" i="64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M27" i="51"/>
  <c r="M33" i="51" s="1"/>
  <c r="D24" i="46"/>
  <c r="I24" i="46" s="1"/>
  <c r="C25" i="46"/>
  <c r="H25" i="46" s="1"/>
  <c r="D25" i="46"/>
  <c r="C12" i="47"/>
  <c r="L16" i="49"/>
  <c r="C51" i="47"/>
  <c r="C42" i="48" s="1"/>
  <c r="F29" i="13"/>
  <c r="M16" i="49"/>
  <c r="D51" i="47"/>
  <c r="D42" i="48" s="1"/>
  <c r="E40" i="24"/>
  <c r="E43" i="24" s="1"/>
  <c r="D40" i="24"/>
  <c r="L47" i="47"/>
  <c r="L54" i="47" s="1"/>
  <c r="M47" i="47"/>
  <c r="M54" i="47" s="1"/>
  <c r="L19" i="48"/>
  <c r="L33" i="46"/>
  <c r="AG24" i="15"/>
  <c r="AG21" i="15"/>
  <c r="AH21" i="15" s="1"/>
  <c r="AH20" i="15"/>
  <c r="AG14" i="15"/>
  <c r="AF24" i="15"/>
  <c r="AF67" i="15" s="1"/>
  <c r="AG23" i="15"/>
  <c r="AH23" i="15" s="1"/>
  <c r="E30" i="13"/>
  <c r="K30" i="13" s="1"/>
  <c r="E29" i="13"/>
  <c r="K29" i="13" s="1"/>
  <c r="E28" i="13"/>
  <c r="K28" i="13" s="1"/>
  <c r="E11" i="13"/>
  <c r="K11" i="13" s="1"/>
  <c r="F26" i="7"/>
  <c r="E14" i="18"/>
  <c r="E17" i="18" s="1"/>
  <c r="M16" i="45" s="1"/>
  <c r="R16" i="45" s="1"/>
  <c r="F13" i="18"/>
  <c r="F26" i="14"/>
  <c r="F17" i="7"/>
  <c r="AH22" i="15"/>
  <c r="G21" i="63"/>
  <c r="G30" i="63"/>
  <c r="G31" i="63" s="1"/>
  <c r="G14" i="63"/>
  <c r="K79" i="13"/>
  <c r="K78" i="13"/>
  <c r="D80" i="13"/>
  <c r="E20" i="45" s="1"/>
  <c r="K76" i="13"/>
  <c r="K77" i="13"/>
  <c r="E34" i="5"/>
  <c r="E35" i="5"/>
  <c r="E22" i="5"/>
  <c r="G79" i="8"/>
  <c r="J79" i="8" s="1"/>
  <c r="G62" i="8"/>
  <c r="G70" i="8" s="1"/>
  <c r="E24" i="10"/>
  <c r="F30" i="7"/>
  <c r="F29" i="7"/>
  <c r="M21" i="46"/>
  <c r="J106" i="8"/>
  <c r="P106" i="8" s="1"/>
  <c r="M10" i="46"/>
  <c r="E13" i="14"/>
  <c r="C18" i="47"/>
  <c r="C16" i="49" s="1"/>
  <c r="F12" i="6"/>
  <c r="F12" i="7"/>
  <c r="F13" i="7"/>
  <c r="K24" i="13"/>
  <c r="H23" i="13"/>
  <c r="K23" i="13" s="1"/>
  <c r="G22" i="13"/>
  <c r="K22" i="13" s="1"/>
  <c r="G19" i="13"/>
  <c r="K19" i="13" s="1"/>
  <c r="D21" i="10"/>
  <c r="J80" i="8"/>
  <c r="P80" i="8" s="1"/>
  <c r="M84" i="8"/>
  <c r="J137" i="8"/>
  <c r="F41" i="7"/>
  <c r="F40" i="7"/>
  <c r="E20" i="6"/>
  <c r="D26" i="46" s="1"/>
  <c r="D20" i="6"/>
  <c r="F20" i="6"/>
  <c r="E26" i="46" s="1"/>
  <c r="F13" i="6"/>
  <c r="E18" i="5"/>
  <c r="AH48" i="15"/>
  <c r="AH45" i="15"/>
  <c r="AH41" i="15"/>
  <c r="AH38" i="15"/>
  <c r="AH33" i="15"/>
  <c r="AH32" i="15"/>
  <c r="AH29" i="15"/>
  <c r="AH30" i="15"/>
  <c r="AH26" i="15"/>
  <c r="AH27" i="15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N47" i="46"/>
  <c r="N47" i="47" s="1"/>
  <c r="O41" i="24" s="1"/>
  <c r="C41" i="24" s="1"/>
  <c r="C42" i="24" s="1"/>
  <c r="O42" i="24" s="1"/>
  <c r="O20" i="45"/>
  <c r="F43" i="45"/>
  <c r="E43" i="51"/>
  <c r="E43" i="44"/>
  <c r="J116" i="8"/>
  <c r="P116" i="8" s="1"/>
  <c r="P119" i="8" s="1"/>
  <c r="D77" i="5"/>
  <c r="C76" i="5"/>
  <c r="C14" i="42" s="1"/>
  <c r="C32" i="42" s="1"/>
  <c r="E17" i="5"/>
  <c r="L21" i="47"/>
  <c r="C28" i="10"/>
  <c r="E34" i="10"/>
  <c r="L27" i="51"/>
  <c r="L33" i="51" s="1"/>
  <c r="AH44" i="15"/>
  <c r="E25" i="10"/>
  <c r="E15" i="10"/>
  <c r="E14" i="10"/>
  <c r="D84" i="8"/>
  <c r="F39" i="7"/>
  <c r="F38" i="7"/>
  <c r="E33" i="6"/>
  <c r="F33" i="6"/>
  <c r="D61" i="5"/>
  <c r="C61" i="5"/>
  <c r="E13" i="5"/>
  <c r="E14" i="5"/>
  <c r="E15" i="5"/>
  <c r="E12" i="5"/>
  <c r="E27" i="5"/>
  <c r="E26" i="5"/>
  <c r="E23" i="5"/>
  <c r="D59" i="7"/>
  <c r="AB50" i="15" s="1"/>
  <c r="F23" i="14"/>
  <c r="I71" i="56"/>
  <c r="H71" i="56"/>
  <c r="G71" i="56"/>
  <c r="F71" i="56"/>
  <c r="E71" i="56"/>
  <c r="AC67" i="15"/>
  <c r="F36" i="7"/>
  <c r="M75" i="8"/>
  <c r="G75" i="8"/>
  <c r="G108" i="8"/>
  <c r="J63" i="8"/>
  <c r="F35" i="7"/>
  <c r="F34" i="7"/>
  <c r="F33" i="7"/>
  <c r="D108" i="8"/>
  <c r="E16" i="6"/>
  <c r="D16" i="6"/>
  <c r="C18" i="49"/>
  <c r="C19" i="49"/>
  <c r="C21" i="49"/>
  <c r="O12" i="24"/>
  <c r="O13" i="24"/>
  <c r="H14" i="24"/>
  <c r="N14" i="24"/>
  <c r="O18" i="24"/>
  <c r="N19" i="24"/>
  <c r="O20" i="24"/>
  <c r="G40" i="24"/>
  <c r="K40" i="24"/>
  <c r="F40" i="24"/>
  <c r="H40" i="24"/>
  <c r="H43" i="24" s="1"/>
  <c r="I40" i="24"/>
  <c r="J40" i="24"/>
  <c r="L40" i="24"/>
  <c r="L43" i="24" s="1"/>
  <c r="M40" i="24"/>
  <c r="N40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N12" i="42"/>
  <c r="N13" i="42"/>
  <c r="L24" i="42"/>
  <c r="L53" i="42"/>
  <c r="M53" i="42"/>
  <c r="N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E12" i="51"/>
  <c r="E13" i="51"/>
  <c r="N13" i="51"/>
  <c r="E14" i="51"/>
  <c r="N14" i="51"/>
  <c r="E16" i="51"/>
  <c r="E18" i="51"/>
  <c r="E20" i="51"/>
  <c r="M24" i="51"/>
  <c r="C32" i="51"/>
  <c r="C34" i="51"/>
  <c r="E34" i="51"/>
  <c r="D32" i="51"/>
  <c r="D34" i="51" s="1"/>
  <c r="M53" i="51"/>
  <c r="N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E12" i="44"/>
  <c r="N12" i="44"/>
  <c r="E13" i="44"/>
  <c r="E16" i="44"/>
  <c r="E18" i="44"/>
  <c r="E20" i="44"/>
  <c r="M24" i="44"/>
  <c r="L53" i="44"/>
  <c r="M53" i="44"/>
  <c r="N53" i="44"/>
  <c r="N16" i="45"/>
  <c r="G12" i="18"/>
  <c r="G14" i="18" s="1"/>
  <c r="G17" i="18" s="1"/>
  <c r="O14" i="45"/>
  <c r="AH47" i="15"/>
  <c r="AH37" i="15"/>
  <c r="AH31" i="15"/>
  <c r="AH34" i="15"/>
  <c r="AH43" i="15"/>
  <c r="AH42" i="15"/>
  <c r="F10" i="14"/>
  <c r="F12" i="14"/>
  <c r="D13" i="14"/>
  <c r="F14" i="14"/>
  <c r="F16" i="14"/>
  <c r="F17" i="14"/>
  <c r="F18" i="14"/>
  <c r="F19" i="14"/>
  <c r="F20" i="14"/>
  <c r="D21" i="14"/>
  <c r="F21" i="14" s="1"/>
  <c r="F22" i="14"/>
  <c r="F24" i="14"/>
  <c r="F25" i="14"/>
  <c r="F27" i="14"/>
  <c r="F28" i="14"/>
  <c r="D29" i="14"/>
  <c r="F29" i="14" s="1"/>
  <c r="E29" i="14"/>
  <c r="F30" i="14"/>
  <c r="C40" i="13"/>
  <c r="D40" i="13"/>
  <c r="K75" i="13"/>
  <c r="R75" i="13"/>
  <c r="C80" i="13"/>
  <c r="D20" i="45" s="1"/>
  <c r="I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12" i="45"/>
  <c r="F13" i="45"/>
  <c r="F14" i="45"/>
  <c r="F16" i="45"/>
  <c r="E16" i="47" s="1"/>
  <c r="E13" i="49" s="1"/>
  <c r="F18" i="45"/>
  <c r="M53" i="45"/>
  <c r="N53" i="45"/>
  <c r="O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E10" i="46"/>
  <c r="N29" i="46"/>
  <c r="E42" i="46"/>
  <c r="E51" i="46"/>
  <c r="J75" i="8"/>
  <c r="D75" i="8"/>
  <c r="P75" i="8"/>
  <c r="J95" i="8"/>
  <c r="J105" i="8"/>
  <c r="M108" i="8"/>
  <c r="J122" i="8"/>
  <c r="J125" i="8" s="1"/>
  <c r="M27" i="44"/>
  <c r="M33" i="44" s="1"/>
  <c r="D49" i="44" s="1"/>
  <c r="F14" i="7"/>
  <c r="F15" i="7"/>
  <c r="F16" i="7"/>
  <c r="F27" i="7"/>
  <c r="F32" i="7"/>
  <c r="F14" i="6"/>
  <c r="F36" i="6"/>
  <c r="F37" i="6" s="1"/>
  <c r="D37" i="6"/>
  <c r="E37" i="6"/>
  <c r="E10" i="5"/>
  <c r="D13" i="46"/>
  <c r="I13" i="46" s="1"/>
  <c r="J13" i="46" s="1"/>
  <c r="E25" i="5"/>
  <c r="E71" i="5"/>
  <c r="E72" i="5"/>
  <c r="E73" i="5"/>
  <c r="A10" i="49"/>
  <c r="A11" i="49" s="1"/>
  <c r="E33" i="49"/>
  <c r="L43" i="49"/>
  <c r="M43" i="49"/>
  <c r="N43" i="49"/>
  <c r="E10" i="48"/>
  <c r="E32" i="48"/>
  <c r="O36" i="24"/>
  <c r="C36" i="24" s="1"/>
  <c r="D42" i="47"/>
  <c r="E42" i="47" s="1"/>
  <c r="O12" i="45"/>
  <c r="L53" i="51"/>
  <c r="L27" i="42"/>
  <c r="L33" i="42" s="1"/>
  <c r="C49" i="42" s="1"/>
  <c r="D54" i="46"/>
  <c r="C54" i="46"/>
  <c r="D14" i="46"/>
  <c r="I14" i="46" s="1"/>
  <c r="L20" i="46"/>
  <c r="Q20" i="46" s="1"/>
  <c r="K80" i="13"/>
  <c r="E19" i="24"/>
  <c r="D19" i="24"/>
  <c r="L24" i="44"/>
  <c r="L24" i="51"/>
  <c r="C48" i="51" s="1"/>
  <c r="N12" i="51"/>
  <c r="M24" i="64"/>
  <c r="M24" i="42"/>
  <c r="E28" i="10"/>
  <c r="J128" i="8"/>
  <c r="J133" i="8" s="1"/>
  <c r="N27" i="64" s="1"/>
  <c r="E89" i="58"/>
  <c r="F89" i="58"/>
  <c r="O13" i="45"/>
  <c r="L20" i="48" l="1"/>
  <c r="Q21" i="47"/>
  <c r="M21" i="47"/>
  <c r="R21" i="46"/>
  <c r="S21" i="46" s="1"/>
  <c r="J25" i="46"/>
  <c r="H34" i="46"/>
  <c r="J24" i="46"/>
  <c r="L10" i="47"/>
  <c r="Q10" i="47" s="1"/>
  <c r="Q10" i="46"/>
  <c r="S10" i="46" s="1"/>
  <c r="D17" i="49"/>
  <c r="I25" i="46"/>
  <c r="L12" i="47"/>
  <c r="Q12" i="46"/>
  <c r="S12" i="46" s="1"/>
  <c r="S19" i="46"/>
  <c r="D26" i="47"/>
  <c r="D18" i="49" s="1"/>
  <c r="I26" i="46"/>
  <c r="J26" i="46" s="1"/>
  <c r="M10" i="47"/>
  <c r="R10" i="46"/>
  <c r="M33" i="45"/>
  <c r="R27" i="45"/>
  <c r="E32" i="45"/>
  <c r="E34" i="45" s="1"/>
  <c r="J20" i="45"/>
  <c r="J32" i="45" s="1"/>
  <c r="J34" i="45" s="1"/>
  <c r="K20" i="45"/>
  <c r="K32" i="45" s="1"/>
  <c r="K34" i="45" s="1"/>
  <c r="I32" i="45"/>
  <c r="I34" i="45" s="1"/>
  <c r="N24" i="45"/>
  <c r="S24" i="45" s="1"/>
  <c r="S16" i="45"/>
  <c r="T16" i="45" s="1"/>
  <c r="AG67" i="15"/>
  <c r="J140" i="8"/>
  <c r="P137" i="8"/>
  <c r="P140" i="8" s="1"/>
  <c r="M27" i="42" s="1"/>
  <c r="M33" i="42" s="1"/>
  <c r="D49" i="42" s="1"/>
  <c r="C13" i="47"/>
  <c r="C79" i="5"/>
  <c r="E11" i="5"/>
  <c r="E25" i="47"/>
  <c r="E17" i="49" s="1"/>
  <c r="E39" i="6"/>
  <c r="E47" i="6" s="1"/>
  <c r="E24" i="46"/>
  <c r="D111" i="8"/>
  <c r="J58" i="8"/>
  <c r="D71" i="7"/>
  <c r="D61" i="7"/>
  <c r="F23" i="7"/>
  <c r="C17" i="49"/>
  <c r="C24" i="49" s="1"/>
  <c r="D13" i="47"/>
  <c r="D79" i="5"/>
  <c r="E21" i="5"/>
  <c r="C30" i="47"/>
  <c r="C34" i="47" s="1"/>
  <c r="C26" i="46"/>
  <c r="H26" i="46" s="1"/>
  <c r="C51" i="5"/>
  <c r="C82" i="5" s="1"/>
  <c r="J43" i="24"/>
  <c r="E22" i="24"/>
  <c r="I43" i="24"/>
  <c r="N43" i="24"/>
  <c r="K43" i="24"/>
  <c r="D43" i="24"/>
  <c r="N22" i="24"/>
  <c r="D22" i="24"/>
  <c r="F22" i="24"/>
  <c r="M22" i="24"/>
  <c r="K22" i="24"/>
  <c r="G22" i="24"/>
  <c r="G43" i="24"/>
  <c r="J22" i="24"/>
  <c r="C30" i="46"/>
  <c r="H30" i="46" s="1"/>
  <c r="C11" i="46"/>
  <c r="H11" i="46" s="1"/>
  <c r="C11" i="47"/>
  <c r="C11" i="48" s="1"/>
  <c r="E44" i="47"/>
  <c r="M95" i="8"/>
  <c r="M102" i="8" s="1"/>
  <c r="L32" i="46" s="1"/>
  <c r="L32" i="47" s="1"/>
  <c r="J102" i="8"/>
  <c r="D48" i="64"/>
  <c r="C48" i="64"/>
  <c r="E34" i="64"/>
  <c r="E32" i="64"/>
  <c r="E30" i="47"/>
  <c r="D30" i="47"/>
  <c r="D21" i="49" s="1"/>
  <c r="C62" i="5"/>
  <c r="C14" i="44"/>
  <c r="D62" i="5"/>
  <c r="D82" i="5" s="1"/>
  <c r="D14" i="44"/>
  <c r="D32" i="44" s="1"/>
  <c r="D34" i="44" s="1"/>
  <c r="D48" i="44" s="1"/>
  <c r="D53" i="44" s="1"/>
  <c r="D54" i="44" s="1"/>
  <c r="C34" i="42"/>
  <c r="C48" i="42"/>
  <c r="D11" i="48"/>
  <c r="N24" i="42"/>
  <c r="N24" i="51"/>
  <c r="E48" i="51" s="1"/>
  <c r="M34" i="51"/>
  <c r="M54" i="51" s="1"/>
  <c r="J27" i="8"/>
  <c r="M33" i="8"/>
  <c r="N21" i="46"/>
  <c r="M20" i="46"/>
  <c r="C29" i="10"/>
  <c r="E30" i="46"/>
  <c r="D30" i="46"/>
  <c r="E25" i="46"/>
  <c r="F16" i="6"/>
  <c r="E33" i="5"/>
  <c r="E61" i="5"/>
  <c r="E62" i="5" s="1"/>
  <c r="H21" i="13"/>
  <c r="H40" i="13" s="1"/>
  <c r="D20" i="47"/>
  <c r="D16" i="48" s="1"/>
  <c r="M37" i="48"/>
  <c r="M44" i="48" s="1"/>
  <c r="A27" i="46"/>
  <c r="A28" i="46" s="1"/>
  <c r="A29" i="46" s="1"/>
  <c r="A30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D24" i="47"/>
  <c r="N16" i="49"/>
  <c r="E51" i="47"/>
  <c r="E42" i="48" s="1"/>
  <c r="L17" i="46"/>
  <c r="Q17" i="46" s="1"/>
  <c r="V50" i="15"/>
  <c r="V67" i="15" s="1"/>
  <c r="J62" i="8"/>
  <c r="J70" i="8" s="1"/>
  <c r="L18" i="46"/>
  <c r="C12" i="48"/>
  <c r="L37" i="48"/>
  <c r="L44" i="48" s="1"/>
  <c r="D54" i="47"/>
  <c r="AH14" i="15"/>
  <c r="C54" i="47"/>
  <c r="N24" i="64"/>
  <c r="L34" i="64"/>
  <c r="L54" i="64" s="1"/>
  <c r="L34" i="42"/>
  <c r="L54" i="42" s="1"/>
  <c r="G84" i="8"/>
  <c r="G111" i="8" s="1"/>
  <c r="M28" i="47"/>
  <c r="M28" i="46"/>
  <c r="P128" i="8"/>
  <c r="P133" i="8" s="1"/>
  <c r="M27" i="64" s="1"/>
  <c r="J115" i="8"/>
  <c r="M27" i="8"/>
  <c r="N27" i="44"/>
  <c r="N33" i="44" s="1"/>
  <c r="E49" i="44" s="1"/>
  <c r="L19" i="47"/>
  <c r="N19" i="46"/>
  <c r="N19" i="47" s="1"/>
  <c r="M19" i="47"/>
  <c r="N24" i="44"/>
  <c r="C49" i="64"/>
  <c r="C53" i="64" s="1"/>
  <c r="C54" i="64" s="1"/>
  <c r="L34" i="44"/>
  <c r="L54" i="44" s="1"/>
  <c r="M34" i="44"/>
  <c r="M54" i="44" s="1"/>
  <c r="N27" i="51"/>
  <c r="N33" i="51" s="1"/>
  <c r="E49" i="51" s="1"/>
  <c r="G21" i="13"/>
  <c r="F59" i="7"/>
  <c r="F71" i="7" s="1"/>
  <c r="M18" i="46"/>
  <c r="M12" i="47"/>
  <c r="N12" i="46"/>
  <c r="N10" i="46"/>
  <c r="E54" i="46"/>
  <c r="G32" i="63"/>
  <c r="M14" i="46"/>
  <c r="R14" i="46" s="1"/>
  <c r="D14" i="42"/>
  <c r="D32" i="42" s="1"/>
  <c r="E76" i="5"/>
  <c r="E77" i="5" s="1"/>
  <c r="C77" i="5"/>
  <c r="E32" i="51"/>
  <c r="AB67" i="15"/>
  <c r="D73" i="7"/>
  <c r="L30" i="47"/>
  <c r="L30" i="46"/>
  <c r="J108" i="8"/>
  <c r="P105" i="8"/>
  <c r="P108" i="8" s="1"/>
  <c r="M32" i="46" s="1"/>
  <c r="M32" i="47" s="1"/>
  <c r="M18" i="49" s="1"/>
  <c r="N54" i="47"/>
  <c r="N37" i="48"/>
  <c r="N44" i="48" s="1"/>
  <c r="P79" i="8"/>
  <c r="P84" i="8" s="1"/>
  <c r="J84" i="8"/>
  <c r="L11" i="47"/>
  <c r="Q11" i="47" s="1"/>
  <c r="N11" i="46"/>
  <c r="M30" i="47"/>
  <c r="M17" i="49" s="1"/>
  <c r="M30" i="46"/>
  <c r="L14" i="46"/>
  <c r="Q14" i="46" s="1"/>
  <c r="S14" i="46" s="1"/>
  <c r="AH24" i="15"/>
  <c r="L33" i="47"/>
  <c r="L19" i="49" s="1"/>
  <c r="E21" i="10"/>
  <c r="D11" i="49"/>
  <c r="C49" i="51"/>
  <c r="L34" i="51"/>
  <c r="L54" i="51" s="1"/>
  <c r="E31" i="14"/>
  <c r="D17" i="46" s="1"/>
  <c r="I17" i="46" s="1"/>
  <c r="I33" i="46" s="1"/>
  <c r="F26" i="13"/>
  <c r="F40" i="13" s="1"/>
  <c r="D17" i="47" s="1"/>
  <c r="D12" i="48"/>
  <c r="E20" i="46"/>
  <c r="C20" i="47"/>
  <c r="F20" i="45"/>
  <c r="F32" i="45" s="1"/>
  <c r="F34" i="45" s="1"/>
  <c r="D32" i="45"/>
  <c r="D34" i="45" s="1"/>
  <c r="D31" i="14"/>
  <c r="E26" i="13"/>
  <c r="F13" i="14"/>
  <c r="D48" i="51"/>
  <c r="D53" i="51" s="1"/>
  <c r="D54" i="51" s="1"/>
  <c r="E12" i="46"/>
  <c r="E12" i="47" s="1"/>
  <c r="E12" i="48" s="1"/>
  <c r="H22" i="24"/>
  <c r="M33" i="47"/>
  <c r="M19" i="49" s="1"/>
  <c r="M33" i="46"/>
  <c r="M43" i="24"/>
  <c r="M30" i="8"/>
  <c r="M11" i="47"/>
  <c r="R11" i="47" s="1"/>
  <c r="F43" i="24"/>
  <c r="L12" i="48" l="1"/>
  <c r="Q12" i="47"/>
  <c r="M18" i="48"/>
  <c r="R19" i="47"/>
  <c r="M15" i="49"/>
  <c r="R28" i="47"/>
  <c r="M20" i="48"/>
  <c r="R21" i="47"/>
  <c r="S21" i="47" s="1"/>
  <c r="S11" i="47"/>
  <c r="L10" i="48"/>
  <c r="M12" i="48"/>
  <c r="R12" i="47"/>
  <c r="N10" i="47"/>
  <c r="N10" i="48" s="1"/>
  <c r="L18" i="48"/>
  <c r="Q19" i="47"/>
  <c r="S19" i="47" s="1"/>
  <c r="M10" i="48"/>
  <c r="R10" i="47"/>
  <c r="N21" i="47"/>
  <c r="N20" i="48" s="1"/>
  <c r="M20" i="47"/>
  <c r="R20" i="46"/>
  <c r="S20" i="46" s="1"/>
  <c r="L18" i="47"/>
  <c r="Q18" i="46"/>
  <c r="D34" i="46"/>
  <c r="I30" i="46"/>
  <c r="J30" i="46" s="1"/>
  <c r="J34" i="46" s="1"/>
  <c r="M18" i="47"/>
  <c r="R18" i="46"/>
  <c r="J11" i="46"/>
  <c r="E26" i="47"/>
  <c r="E18" i="49" s="1"/>
  <c r="I34" i="46"/>
  <c r="I35" i="46" s="1"/>
  <c r="D49" i="45"/>
  <c r="R33" i="45"/>
  <c r="J48" i="45"/>
  <c r="E48" i="45"/>
  <c r="C34" i="46"/>
  <c r="M34" i="42"/>
  <c r="M54" i="42" s="1"/>
  <c r="N27" i="42"/>
  <c r="N33" i="42" s="1"/>
  <c r="E49" i="42" s="1"/>
  <c r="M58" i="8"/>
  <c r="E51" i="5"/>
  <c r="E82" i="5" s="1"/>
  <c r="E34" i="46"/>
  <c r="E24" i="47"/>
  <c r="E34" i="47" s="1"/>
  <c r="D34" i="47"/>
  <c r="L17" i="47"/>
  <c r="F61" i="7"/>
  <c r="F73" i="7" s="1"/>
  <c r="F70" i="7"/>
  <c r="F27" i="6"/>
  <c r="F29" i="6" s="1"/>
  <c r="F39" i="6" s="1"/>
  <c r="D39" i="6"/>
  <c r="D47" i="6" s="1"/>
  <c r="M111" i="8"/>
  <c r="E11" i="46"/>
  <c r="E11" i="47"/>
  <c r="E11" i="48" s="1"/>
  <c r="E39" i="5"/>
  <c r="E13" i="46" s="1"/>
  <c r="N18" i="48"/>
  <c r="O29" i="24"/>
  <c r="L50" i="46"/>
  <c r="M27" i="46"/>
  <c r="N27" i="45"/>
  <c r="J119" i="8"/>
  <c r="J152" i="8" s="1"/>
  <c r="E48" i="64"/>
  <c r="C32" i="44"/>
  <c r="C34" i="44" s="1"/>
  <c r="E14" i="44"/>
  <c r="E32" i="44" s="1"/>
  <c r="D33" i="46"/>
  <c r="D35" i="46" s="1"/>
  <c r="D55" i="46" s="1"/>
  <c r="D34" i="42"/>
  <c r="E34" i="42" s="1"/>
  <c r="D48" i="42"/>
  <c r="D53" i="42" s="1"/>
  <c r="D14" i="48"/>
  <c r="E53" i="51"/>
  <c r="E54" i="51" s="1"/>
  <c r="J111" i="8"/>
  <c r="N20" i="46"/>
  <c r="C38" i="10"/>
  <c r="E29" i="10"/>
  <c r="E38" i="10" s="1"/>
  <c r="K21" i="13"/>
  <c r="D13" i="48"/>
  <c r="D16" i="49"/>
  <c r="E54" i="47"/>
  <c r="O21" i="24" s="1"/>
  <c r="C21" i="24" s="1"/>
  <c r="G152" i="8"/>
  <c r="L24" i="46"/>
  <c r="Q24" i="46" s="1"/>
  <c r="L28" i="47"/>
  <c r="Q28" i="47" s="1"/>
  <c r="M33" i="64"/>
  <c r="N34" i="44"/>
  <c r="N54" i="44" s="1"/>
  <c r="C53" i="42"/>
  <c r="C54" i="42" s="1"/>
  <c r="N30" i="46"/>
  <c r="N34" i="51"/>
  <c r="N54" i="51" s="1"/>
  <c r="G40" i="13"/>
  <c r="N18" i="46"/>
  <c r="N18" i="47" s="1"/>
  <c r="N17" i="48" s="1"/>
  <c r="N12" i="47"/>
  <c r="O27" i="24" s="1"/>
  <c r="C27" i="24" s="1"/>
  <c r="M24" i="45"/>
  <c r="O16" i="45"/>
  <c r="O24" i="45" s="1"/>
  <c r="M14" i="47"/>
  <c r="E14" i="42"/>
  <c r="E32" i="42" s="1"/>
  <c r="E48" i="42" s="1"/>
  <c r="C16" i="48"/>
  <c r="E20" i="47"/>
  <c r="C53" i="51"/>
  <c r="C54" i="51" s="1"/>
  <c r="C17" i="46"/>
  <c r="H17" i="46" s="1"/>
  <c r="J17" i="46" s="1"/>
  <c r="F31" i="14"/>
  <c r="E17" i="46" s="1"/>
  <c r="N32" i="47"/>
  <c r="L18" i="49"/>
  <c r="P152" i="8"/>
  <c r="N14" i="46"/>
  <c r="L14" i="47"/>
  <c r="L11" i="48"/>
  <c r="N11" i="47"/>
  <c r="L17" i="49"/>
  <c r="N17" i="49" s="1"/>
  <c r="N30" i="47"/>
  <c r="O37" i="24" s="1"/>
  <c r="C37" i="24" s="1"/>
  <c r="E40" i="13"/>
  <c r="K26" i="13"/>
  <c r="M11" i="48"/>
  <c r="O17" i="24"/>
  <c r="C17" i="24" s="1"/>
  <c r="E21" i="49"/>
  <c r="N17" i="46"/>
  <c r="N17" i="47" s="1"/>
  <c r="N32" i="46"/>
  <c r="P111" i="8"/>
  <c r="N33" i="46"/>
  <c r="N33" i="47"/>
  <c r="C13" i="48"/>
  <c r="M17" i="48" l="1"/>
  <c r="R18" i="47"/>
  <c r="L17" i="48"/>
  <c r="Q18" i="47"/>
  <c r="S18" i="47" s="1"/>
  <c r="S28" i="47"/>
  <c r="S10" i="47"/>
  <c r="M14" i="48"/>
  <c r="R14" i="47"/>
  <c r="O25" i="24"/>
  <c r="C25" i="24" s="1"/>
  <c r="M19" i="48"/>
  <c r="R20" i="47"/>
  <c r="S20" i="47" s="1"/>
  <c r="S12" i="47"/>
  <c r="L14" i="48"/>
  <c r="Q14" i="47"/>
  <c r="L16" i="48"/>
  <c r="L22" i="48" s="1"/>
  <c r="L24" i="48" s="1"/>
  <c r="Q17" i="47"/>
  <c r="I37" i="46"/>
  <c r="I55" i="46"/>
  <c r="H33" i="46"/>
  <c r="H35" i="46" s="1"/>
  <c r="S18" i="46"/>
  <c r="N20" i="47"/>
  <c r="N19" i="48" s="1"/>
  <c r="J33" i="46"/>
  <c r="J35" i="46" s="1"/>
  <c r="O27" i="45"/>
  <c r="O33" i="45" s="1"/>
  <c r="F49" i="45" s="1"/>
  <c r="S27" i="45"/>
  <c r="T27" i="45" s="1"/>
  <c r="D48" i="45"/>
  <c r="D53" i="45" s="1"/>
  <c r="D54" i="45" s="1"/>
  <c r="R24" i="45"/>
  <c r="I49" i="45"/>
  <c r="E53" i="42"/>
  <c r="E54" i="42" s="1"/>
  <c r="N34" i="42"/>
  <c r="N54" i="42" s="1"/>
  <c r="E16" i="49"/>
  <c r="E24" i="49" s="1"/>
  <c r="O15" i="24"/>
  <c r="O19" i="24" s="1"/>
  <c r="D24" i="49"/>
  <c r="D25" i="49" s="1"/>
  <c r="F47" i="6"/>
  <c r="C14" i="46"/>
  <c r="H14" i="46" s="1"/>
  <c r="J14" i="46" s="1"/>
  <c r="E13" i="47"/>
  <c r="E13" i="48" s="1"/>
  <c r="E79" i="5"/>
  <c r="M34" i="45"/>
  <c r="M54" i="45" s="1"/>
  <c r="D22" i="48"/>
  <c r="D24" i="48" s="1"/>
  <c r="L27" i="46"/>
  <c r="N27" i="46" s="1"/>
  <c r="N33" i="45"/>
  <c r="D54" i="42"/>
  <c r="O8" i="24"/>
  <c r="C8" i="24" s="1"/>
  <c r="E33" i="46"/>
  <c r="E34" i="44"/>
  <c r="E48" i="44" s="1"/>
  <c r="E53" i="44" s="1"/>
  <c r="E54" i="44" s="1"/>
  <c r="C48" i="44"/>
  <c r="C53" i="44" s="1"/>
  <c r="C54" i="44" s="1"/>
  <c r="D33" i="47"/>
  <c r="D35" i="47" s="1"/>
  <c r="D55" i="47" s="1"/>
  <c r="M49" i="46"/>
  <c r="L28" i="46"/>
  <c r="N28" i="46" s="1"/>
  <c r="N33" i="64"/>
  <c r="N34" i="64" s="1"/>
  <c r="N54" i="64" s="1"/>
  <c r="L15" i="49"/>
  <c r="N15" i="49" s="1"/>
  <c r="N28" i="47"/>
  <c r="O35" i="24" s="1"/>
  <c r="C35" i="24" s="1"/>
  <c r="M27" i="47"/>
  <c r="M152" i="8"/>
  <c r="M34" i="46"/>
  <c r="O34" i="45"/>
  <c r="O54" i="45" s="1"/>
  <c r="K40" i="13"/>
  <c r="O31" i="24"/>
  <c r="C31" i="24" s="1"/>
  <c r="N12" i="48"/>
  <c r="F48" i="45"/>
  <c r="F53" i="45" s="1"/>
  <c r="F54" i="45" s="1"/>
  <c r="N14" i="47"/>
  <c r="L24" i="47"/>
  <c r="O39" i="24"/>
  <c r="C39" i="24" s="1"/>
  <c r="N19" i="49"/>
  <c r="N18" i="49"/>
  <c r="O38" i="24"/>
  <c r="C38" i="24" s="1"/>
  <c r="C17" i="47"/>
  <c r="C33" i="47" s="1"/>
  <c r="C33" i="46"/>
  <c r="O26" i="24"/>
  <c r="C26" i="24" s="1"/>
  <c r="N11" i="48"/>
  <c r="O11" i="24"/>
  <c r="C11" i="24" s="1"/>
  <c r="E16" i="48"/>
  <c r="N24" i="46"/>
  <c r="M34" i="64"/>
  <c r="M54" i="64" s="1"/>
  <c r="D49" i="64"/>
  <c r="D53" i="64" s="1"/>
  <c r="D54" i="64" s="1"/>
  <c r="N16" i="48"/>
  <c r="O30" i="24"/>
  <c r="C19" i="24"/>
  <c r="S14" i="47" l="1"/>
  <c r="Q24" i="47"/>
  <c r="M14" i="49"/>
  <c r="M20" i="49" s="1"/>
  <c r="M25" i="49" s="1"/>
  <c r="D27" i="49" s="1"/>
  <c r="R27" i="47"/>
  <c r="O32" i="24"/>
  <c r="C32" i="24" s="1"/>
  <c r="J37" i="46"/>
  <c r="J55" i="46"/>
  <c r="H37" i="46"/>
  <c r="H55" i="46"/>
  <c r="R54" i="45"/>
  <c r="R34" i="45"/>
  <c r="I48" i="45"/>
  <c r="I53" i="45" s="1"/>
  <c r="I54" i="45" s="1"/>
  <c r="T24" i="45"/>
  <c r="N34" i="45"/>
  <c r="N54" i="45" s="1"/>
  <c r="S33" i="45"/>
  <c r="E14" i="46"/>
  <c r="C35" i="46"/>
  <c r="C55" i="46" s="1"/>
  <c r="N14" i="48"/>
  <c r="N22" i="48" s="1"/>
  <c r="N24" i="48" s="1"/>
  <c r="O28" i="24"/>
  <c r="C28" i="24" s="1"/>
  <c r="L45" i="48"/>
  <c r="E49" i="45"/>
  <c r="E53" i="45" s="1"/>
  <c r="E54" i="45" s="1"/>
  <c r="L27" i="47"/>
  <c r="N34" i="46"/>
  <c r="N35" i="46" s="1"/>
  <c r="O9" i="24"/>
  <c r="C9" i="24" s="1"/>
  <c r="L34" i="46"/>
  <c r="L35" i="46" s="1"/>
  <c r="E49" i="64"/>
  <c r="E53" i="64" s="1"/>
  <c r="E54" i="64" s="1"/>
  <c r="M34" i="47"/>
  <c r="L49" i="46"/>
  <c r="L54" i="46" s="1"/>
  <c r="N24" i="47"/>
  <c r="E17" i="47"/>
  <c r="E33" i="47" s="1"/>
  <c r="C14" i="48"/>
  <c r="C22" i="48" s="1"/>
  <c r="C24" i="48" s="1"/>
  <c r="C26" i="48" s="1"/>
  <c r="M44" i="49"/>
  <c r="L14" i="49" l="1"/>
  <c r="L20" i="49" s="1"/>
  <c r="L25" i="49" s="1"/>
  <c r="Q27" i="47"/>
  <c r="S27" i="47" s="1"/>
  <c r="K48" i="45"/>
  <c r="J49" i="45"/>
  <c r="J53" i="45" s="1"/>
  <c r="J54" i="45" s="1"/>
  <c r="S34" i="45"/>
  <c r="S54" i="45"/>
  <c r="T33" i="45"/>
  <c r="K49" i="45" s="1"/>
  <c r="C37" i="46"/>
  <c r="E35" i="46"/>
  <c r="E37" i="46" s="1"/>
  <c r="C35" i="47"/>
  <c r="E35" i="47" s="1"/>
  <c r="E55" i="47" s="1"/>
  <c r="C11" i="49"/>
  <c r="C25" i="49" s="1"/>
  <c r="C27" i="49" s="1"/>
  <c r="N45" i="48"/>
  <c r="M50" i="46"/>
  <c r="M54" i="46" s="1"/>
  <c r="L34" i="47"/>
  <c r="L35" i="47" s="1"/>
  <c r="L55" i="47" s="1"/>
  <c r="N27" i="47"/>
  <c r="O34" i="24" s="1"/>
  <c r="D35" i="49"/>
  <c r="D36" i="48" s="1"/>
  <c r="D44" i="48" s="1"/>
  <c r="D45" i="48" s="1"/>
  <c r="L55" i="46"/>
  <c r="N50" i="46"/>
  <c r="N49" i="46"/>
  <c r="C33" i="24"/>
  <c r="O33" i="24"/>
  <c r="L44" i="49"/>
  <c r="E14" i="48"/>
  <c r="E22" i="48" s="1"/>
  <c r="E24" i="48" s="1"/>
  <c r="E26" i="48" s="1"/>
  <c r="O10" i="24"/>
  <c r="K53" i="45" l="1"/>
  <c r="K54" i="45" s="1"/>
  <c r="T54" i="45"/>
  <c r="T34" i="45"/>
  <c r="C55" i="47"/>
  <c r="E55" i="46"/>
  <c r="E11" i="49"/>
  <c r="E25" i="49" s="1"/>
  <c r="N14" i="49"/>
  <c r="N20" i="49" s="1"/>
  <c r="N25" i="49" s="1"/>
  <c r="C37" i="47"/>
  <c r="N34" i="47"/>
  <c r="N35" i="47" s="1"/>
  <c r="E37" i="47" s="1"/>
  <c r="D43" i="49"/>
  <c r="D44" i="49" s="1"/>
  <c r="C35" i="49"/>
  <c r="C36" i="48" s="1"/>
  <c r="N54" i="46"/>
  <c r="N55" i="46" s="1"/>
  <c r="C10" i="24"/>
  <c r="O14" i="24"/>
  <c r="O22" i="24" s="1"/>
  <c r="O40" i="24"/>
  <c r="C34" i="24"/>
  <c r="E27" i="49" l="1"/>
  <c r="E35" i="49" s="1"/>
  <c r="E36" i="48" s="1"/>
  <c r="C14" i="24"/>
  <c r="C22" i="24" s="1"/>
  <c r="C40" i="24"/>
  <c r="C43" i="24" s="1"/>
  <c r="O43" i="24" s="1"/>
  <c r="N44" i="49"/>
  <c r="N55" i="47"/>
  <c r="E57" i="47" s="1"/>
  <c r="E43" i="49" l="1"/>
  <c r="E44" i="49" s="1"/>
  <c r="C43" i="49"/>
  <c r="C44" i="49" s="1"/>
  <c r="E44" i="48" l="1"/>
  <c r="E45" i="48" s="1"/>
  <c r="C44" i="48"/>
  <c r="C45" i="48" s="1"/>
  <c r="E73" i="7" l="1"/>
  <c r="M17" i="46"/>
  <c r="M17" i="47" l="1"/>
  <c r="R17" i="46"/>
  <c r="S17" i="46" s="1"/>
  <c r="Y67" i="15"/>
  <c r="M24" i="46"/>
  <c r="M16" i="48" l="1"/>
  <c r="M22" i="48" s="1"/>
  <c r="M24" i="48" s="1"/>
  <c r="R17" i="47"/>
  <c r="M24" i="47"/>
  <c r="M35" i="47" s="1"/>
  <c r="D37" i="47" s="1"/>
  <c r="M35" i="46"/>
  <c r="M55" i="46" s="1"/>
  <c r="R24" i="46"/>
  <c r="S24" i="46" s="1"/>
  <c r="M45" i="48"/>
  <c r="D26" i="48"/>
  <c r="AH50" i="15"/>
  <c r="AH67" i="15" s="1"/>
  <c r="D152" i="8"/>
  <c r="R24" i="47" l="1"/>
  <c r="S17" i="47"/>
  <c r="S24" i="47" s="1"/>
  <c r="M55" i="47"/>
  <c r="D37" i="46"/>
</calcChain>
</file>

<file path=xl/comments1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<sst xmlns="http://schemas.openxmlformats.org/spreadsheetml/2006/main" count="3201" uniqueCount="1319">
  <si>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</si>
  <si>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</si>
  <si>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</si>
  <si>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</si>
  <si>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</si>
  <si>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</si>
  <si>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</si>
  <si>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</si>
  <si>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</si>
  <si>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</si>
  <si>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</si>
  <si>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</si>
  <si>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</si>
  <si>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</si>
  <si>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</si>
  <si>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</si>
  <si>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</si>
  <si>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</si>
  <si>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</si>
  <si>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</si>
  <si>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</si>
  <si>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</si>
  <si>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</si>
  <si>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</si>
  <si>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</si>
  <si>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</si>
  <si>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</si>
  <si>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</si>
  <si>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</si>
  <si>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</si>
  <si>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</si>
  <si>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</si>
  <si>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</si>
  <si>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</si>
  <si>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</si>
  <si>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</si>
  <si>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</si>
  <si>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</si>
  <si>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</si>
  <si>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</si>
  <si>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</si>
  <si>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</si>
  <si>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</si>
  <si>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</si>
  <si>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</si>
  <si>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</si>
  <si>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</si>
  <si>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</si>
  <si>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</si>
  <si>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</si>
  <si>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</si>
  <si>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</si>
  <si>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</si>
  <si>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</si>
  <si>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</si>
  <si>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</si>
  <si>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</si>
  <si>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</si>
  <si>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</si>
  <si>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</si>
  <si>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</si>
  <si>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</si>
  <si>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</si>
  <si>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</si>
  <si>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</si>
  <si>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</si>
  <si>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</si>
  <si>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</si>
  <si>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</si>
  <si>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</si>
  <si>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</si>
  <si>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</si>
  <si>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Balaton Airport Kft 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</si>
  <si>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</si>
  <si>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</si>
  <si>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</si>
  <si>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</si>
  <si>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</si>
  <si>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</si>
  <si>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</si>
  <si>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</si>
  <si>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</si>
  <si>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</si>
  <si>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</si>
  <si>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</si>
  <si>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</si>
  <si>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</si>
  <si>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</si>
  <si>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</si>
  <si>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Fejezeti kezelési pénzeszköz átvétel:</t>
  </si>
  <si>
    <t>VI.</t>
  </si>
  <si>
    <t xml:space="preserve">VII. </t>
  </si>
  <si>
    <t>VIII</t>
  </si>
  <si>
    <t xml:space="preserve">Szociálpolitikai juttatások állami támogatása </t>
  </si>
  <si>
    <t xml:space="preserve">     Társult önkormányzatok orvosi ügyeleti kiadásokhoz hozzájárulás</t>
  </si>
  <si>
    <t xml:space="preserve">     Társult önkormányzatok gyepmesteri tevékenység kiadásaihoz hozzájár.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</si>
  <si>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</si>
  <si>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</si>
  <si>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</si>
  <si>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</si>
  <si>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</si>
  <si>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3</t>
  </si>
  <si>
    <t>Támogatás, végleges pénzeszköz átvétel összesen:</t>
  </si>
  <si>
    <t>Ingatlanértékesítés</t>
  </si>
  <si>
    <t xml:space="preserve">Gépkocsiértékesítés </t>
  </si>
  <si>
    <t>Gépjármű várakozóhely megváltás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</si>
  <si>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</si>
  <si>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</si>
  <si>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</si>
  <si>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</si>
  <si>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</si>
  <si>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</si>
  <si>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</si>
  <si>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</si>
  <si>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</si>
  <si>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</si>
  <si>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</si>
  <si>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</si>
  <si>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</si>
  <si>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</si>
  <si>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</si>
  <si>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</si>
  <si>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</si>
  <si>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</si>
  <si>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</si>
  <si>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</si>
  <si>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</si>
  <si>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</si>
  <si>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</si>
  <si>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</si>
  <si>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</si>
  <si>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</si>
  <si>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</si>
  <si>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</si>
  <si>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</si>
  <si>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</si>
  <si>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</si>
  <si>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</si>
  <si>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</si>
  <si>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</si>
  <si>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</si>
  <si>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</si>
  <si>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</si>
  <si>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</si>
  <si>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</si>
  <si>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</si>
  <si>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</si>
  <si>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</si>
  <si>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</si>
  <si>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</si>
  <si>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</si>
  <si>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</si>
  <si>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</si>
  <si>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</si>
  <si>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</si>
  <si>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</si>
  <si>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</si>
  <si>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</si>
  <si>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</si>
  <si>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</si>
  <si>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</si>
  <si>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</si>
  <si>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</si>
  <si>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</si>
  <si>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</si>
  <si>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</si>
  <si>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</si>
  <si>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</si>
  <si>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</si>
  <si>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</si>
  <si>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</si>
  <si>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</si>
  <si>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</si>
  <si>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</si>
  <si>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</si>
  <si>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Református Egyházkerület Pápa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</si>
  <si>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</si>
  <si>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</si>
  <si>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</si>
  <si>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</si>
  <si>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</si>
  <si>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</si>
  <si>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</si>
  <si>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</si>
  <si>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</si>
  <si>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</si>
  <si>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</si>
  <si>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</si>
  <si>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 xml:space="preserve">Naperőmű telepítés előkészítése  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</si>
  <si>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</si>
  <si>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</si>
  <si>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</si>
  <si>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</si>
  <si>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</si>
  <si>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</si>
  <si>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</si>
  <si>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</si>
  <si>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</si>
  <si>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</si>
  <si>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</si>
  <si>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</si>
  <si>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</si>
  <si>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</si>
  <si>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</si>
  <si>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</si>
  <si>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</si>
  <si>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</si>
  <si>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</si>
  <si>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</si>
  <si>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</si>
  <si>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</si>
  <si>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</si>
  <si>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</si>
  <si>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</si>
  <si>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</si>
  <si>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</si>
  <si>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</si>
  <si>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</si>
  <si>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</si>
  <si>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</si>
  <si>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</si>
  <si>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</si>
  <si>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</si>
  <si>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</si>
  <si>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</si>
  <si>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</si>
  <si>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</si>
  <si>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</si>
  <si>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</si>
  <si>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</si>
  <si>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</si>
  <si>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</si>
  <si>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</si>
  <si>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</si>
  <si>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</si>
  <si>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</si>
  <si>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</si>
  <si>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</si>
  <si>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</si>
  <si>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</si>
  <si>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</si>
  <si>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</si>
  <si>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</si>
  <si>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</si>
  <si>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</si>
  <si>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</si>
  <si>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</si>
  <si>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</si>
  <si>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</si>
  <si>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</si>
  <si>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</si>
  <si>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</si>
  <si>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</si>
  <si>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</si>
  <si>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</si>
  <si>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</si>
  <si>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</si>
  <si>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</si>
  <si>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</si>
  <si>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</si>
  <si>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</si>
  <si>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</si>
  <si>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</si>
  <si>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</si>
  <si>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</si>
  <si>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</si>
  <si>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</si>
  <si>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</si>
  <si>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</si>
  <si>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</si>
  <si>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</si>
  <si>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</si>
  <si>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</si>
  <si>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</si>
  <si>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</si>
  <si>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</si>
  <si>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</si>
  <si>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</si>
  <si>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</si>
  <si>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</si>
  <si>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</si>
  <si>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</si>
  <si>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</si>
  <si>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</si>
  <si>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</si>
  <si>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</si>
  <si>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</si>
  <si>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</si>
  <si>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</si>
  <si>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</si>
  <si>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</si>
  <si>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</si>
  <si>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</si>
  <si>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</si>
  <si>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</si>
  <si>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</si>
  <si>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</si>
  <si>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</si>
  <si>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</si>
  <si>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</si>
  <si>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>500,- Ft/fő/éjszaka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</si>
  <si>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</si>
  <si>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</si>
  <si>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</si>
  <si>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</si>
  <si>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</si>
  <si>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</si>
  <si>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</si>
  <si>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</si>
  <si>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</si>
  <si>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</si>
  <si>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</si>
  <si>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4</t>
  </si>
  <si>
    <t>Pályázati Alap a városfejlesztési feladatok finanszírozására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</si>
  <si>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</si>
  <si>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</si>
  <si>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</si>
  <si>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</si>
  <si>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</si>
  <si>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 xml:space="preserve">Beruházásokra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</si>
  <si>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</si>
  <si>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</si>
  <si>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</si>
  <si>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</si>
  <si>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</si>
  <si>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</si>
  <si>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</si>
  <si>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</si>
  <si>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</si>
  <si>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</si>
  <si>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</si>
  <si>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</si>
  <si>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</si>
  <si>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</si>
  <si>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</si>
  <si>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</si>
  <si>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</si>
  <si>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</si>
  <si>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</si>
  <si>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</si>
  <si>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</si>
  <si>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</si>
  <si>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</si>
  <si>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</si>
  <si>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</si>
  <si>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</si>
  <si>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</si>
  <si>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</si>
  <si>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</si>
  <si>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</si>
  <si>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</si>
  <si>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</si>
  <si>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</si>
  <si>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</si>
  <si>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</si>
  <si>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</si>
  <si>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</si>
  <si>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</si>
  <si>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</si>
  <si>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</si>
  <si>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</si>
  <si>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</si>
  <si>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</si>
  <si>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</si>
  <si>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</si>
  <si>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</si>
  <si>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</si>
  <si>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</si>
  <si>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</si>
  <si>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</si>
  <si>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</si>
  <si>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</si>
  <si>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</si>
  <si>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</si>
  <si>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</si>
  <si>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</si>
  <si>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</si>
  <si>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</si>
  <si>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</si>
  <si>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</si>
  <si>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</si>
  <si>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</si>
  <si>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</si>
  <si>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</si>
  <si>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</si>
  <si>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</si>
  <si>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</si>
  <si>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</si>
  <si>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</si>
  <si>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</si>
  <si>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</si>
  <si>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</si>
  <si>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</si>
  <si>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</si>
  <si>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</si>
  <si>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</si>
  <si>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</si>
  <si>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</si>
  <si>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</si>
  <si>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</si>
  <si>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</si>
  <si>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</si>
  <si>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</si>
  <si>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</si>
  <si>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</si>
  <si>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</si>
  <si>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</si>
  <si>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</si>
  <si>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</si>
  <si>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</si>
  <si>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</si>
  <si>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</si>
  <si>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</si>
  <si>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</si>
  <si>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</si>
  <si>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</si>
  <si>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</si>
  <si>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</si>
  <si>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</si>
  <si>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</si>
  <si>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</si>
  <si>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</si>
  <si>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</si>
  <si>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</si>
  <si>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</si>
  <si>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</si>
  <si>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</si>
  <si>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</si>
  <si>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</si>
  <si>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</si>
  <si>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Közvetett támogatás</t>
  </si>
  <si>
    <t>Az adózás rendjéről szóló 2003. évi XCII. tv. figyelembe vételével méltányosságból származó kedvezmény</t>
  </si>
  <si>
    <t>Összes 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</si>
  <si>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</si>
  <si>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</si>
  <si>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</si>
  <si>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</si>
  <si>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</si>
  <si>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</si>
  <si>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</si>
  <si>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</si>
  <si>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</si>
  <si>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</si>
  <si>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</si>
  <si>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</si>
  <si>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</si>
  <si>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</si>
  <si>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</si>
  <si>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</si>
  <si>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</si>
  <si>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</si>
  <si>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</si>
  <si>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</si>
  <si>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</si>
  <si>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</si>
  <si>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</si>
  <si>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</si>
  <si>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</si>
  <si>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</si>
  <si>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</si>
  <si>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</si>
  <si>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</si>
  <si>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</si>
  <si>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</si>
  <si>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</si>
  <si>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</si>
  <si>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</si>
  <si>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</si>
  <si>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</si>
  <si>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</si>
  <si>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</si>
  <si>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</si>
  <si>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</si>
  <si>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</si>
  <si>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</si>
  <si>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</si>
  <si>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</si>
  <si>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</si>
  <si>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</si>
  <si>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</si>
  <si>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</si>
  <si>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</si>
  <si>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</si>
  <si>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</si>
  <si>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</si>
  <si>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</si>
  <si>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</si>
  <si>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</si>
  <si>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</si>
  <si>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</si>
  <si>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</si>
  <si>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</si>
  <si>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</si>
  <si>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</si>
  <si>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</si>
  <si>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</si>
  <si>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</si>
  <si>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</si>
  <si>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</si>
  <si>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</si>
  <si>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</si>
  <si>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</si>
  <si>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</si>
  <si>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</si>
  <si>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</si>
  <si>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</si>
  <si>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</si>
  <si>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</si>
  <si>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</si>
  <si>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</si>
  <si>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</si>
  <si>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</si>
  <si>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</si>
  <si>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</si>
  <si>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</si>
  <si>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</si>
  <si>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</si>
  <si>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</si>
  <si>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</si>
  <si>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</si>
  <si>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lakosságnak</t>
  </si>
  <si>
    <t>Felhalmozási kölcsön nyújtása önkormányzati dolgozóknak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</si>
  <si>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</si>
  <si>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</si>
  <si>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</si>
  <si>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</si>
  <si>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</si>
  <si>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</si>
  <si>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</si>
  <si>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</si>
  <si>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</si>
  <si>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</si>
  <si>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</si>
  <si>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Takarítónő orv. Rendelő</t>
  </si>
  <si>
    <t>Bölcsődei gyermek gondozó</t>
  </si>
  <si>
    <t>Bölcsődei kisegítő személyzet</t>
  </si>
  <si>
    <t>Óvónő</t>
  </si>
  <si>
    <t>Kisegítő személyzet</t>
  </si>
  <si>
    <t>3 fő kisegítő személyzet 2013. szept.1-től</t>
  </si>
  <si>
    <t>Brunszvik Teréz Napközi Otthonos Óvoda össz: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</si>
  <si>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</si>
  <si>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</si>
  <si>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</si>
  <si>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</si>
  <si>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</si>
  <si>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</si>
  <si>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</si>
  <si>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</si>
  <si>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</si>
  <si>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</si>
  <si>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</si>
  <si>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</si>
  <si>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</si>
  <si>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</si>
  <si>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</si>
  <si>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</si>
  <si>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</si>
  <si>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</si>
  <si>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</si>
  <si>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</si>
  <si>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</si>
  <si>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</si>
  <si>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</si>
  <si>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</si>
  <si>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</si>
  <si>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</si>
  <si>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</si>
  <si>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</si>
  <si>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</si>
  <si>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Eszközbeszerzés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</si>
  <si>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</si>
  <si>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</si>
  <si>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</si>
  <si>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</si>
  <si>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</si>
  <si>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</si>
  <si>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</si>
  <si>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</si>
  <si>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</si>
  <si>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</si>
  <si>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</si>
  <si>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Nyári gyermekétkeztetés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</si>
  <si>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</si>
  <si>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</si>
  <si>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</si>
  <si>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</si>
  <si>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</si>
  <si>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</si>
  <si>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</si>
  <si>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</si>
  <si>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</si>
  <si>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</si>
  <si>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</si>
  <si>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</si>
  <si>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</si>
  <si>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</si>
  <si>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</si>
  <si>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</si>
  <si>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</si>
  <si>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</si>
  <si>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</si>
  <si>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</si>
  <si>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</si>
  <si>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</si>
  <si>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</si>
  <si>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</si>
  <si>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</si>
  <si>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</si>
  <si>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</si>
  <si>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</si>
  <si>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</si>
  <si>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</si>
  <si>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</si>
  <si>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</si>
  <si>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</si>
  <si>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</si>
  <si>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</si>
  <si>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Házi segítségnyújtás</t>
  </si>
  <si>
    <t>Működési c. kiadások össz.:</t>
  </si>
  <si>
    <t>Szociálpolitikai juttatások</t>
  </si>
  <si>
    <t>Összesen:</t>
  </si>
  <si>
    <t>Rászorultságtól függő term.  ellátások</t>
  </si>
  <si>
    <t>Nyári gyerekétkeztetés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</si>
  <si>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</si>
  <si>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</si>
  <si>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</si>
  <si>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</si>
  <si>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</si>
  <si>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</si>
  <si>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</si>
  <si>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</si>
  <si>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</si>
  <si>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</si>
  <si>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</si>
  <si>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</si>
  <si>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</si>
  <si>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</si>
  <si>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</si>
  <si>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</si>
  <si>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</si>
  <si>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</si>
  <si>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</si>
  <si>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</si>
  <si>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</si>
  <si>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</si>
  <si>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</si>
  <si>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</si>
  <si>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</si>
  <si>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</si>
  <si>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</si>
  <si>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</si>
  <si>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</si>
  <si>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</si>
  <si>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</si>
  <si>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</si>
  <si>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</si>
  <si>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</si>
  <si>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</si>
  <si>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</si>
  <si>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</si>
  <si>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</si>
  <si>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</si>
  <si>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</si>
  <si>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</si>
  <si>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</si>
  <si>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</si>
  <si>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</si>
  <si>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</si>
  <si>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</si>
  <si>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</si>
  <si>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</si>
  <si>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</si>
  <si>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</si>
  <si>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</si>
  <si>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</si>
  <si>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</si>
  <si>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</si>
  <si>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</si>
  <si>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</si>
  <si>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</si>
  <si>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</si>
  <si>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</si>
  <si>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</si>
  <si>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</si>
  <si>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</si>
  <si>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</si>
  <si>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</si>
  <si>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</si>
  <si>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</si>
  <si>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</si>
  <si>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</si>
  <si>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</si>
  <si>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</si>
  <si>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</si>
  <si>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Konyha</t>
  </si>
  <si>
    <t>Köztemető</t>
  </si>
  <si>
    <t>Köztisztasági tevékenység</t>
  </si>
  <si>
    <t>Orvosi ügyeleti szolgálat</t>
  </si>
  <si>
    <t>Takarítónő, mosónő</t>
  </si>
  <si>
    <t>GAMESZ összesen:</t>
  </si>
  <si>
    <t xml:space="preserve">Teréz Anya Szociális Integrált Intézmény**  </t>
  </si>
  <si>
    <t>Nappali szociális ellátás</t>
  </si>
  <si>
    <t>Védőnő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</si>
  <si>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</si>
  <si>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</si>
  <si>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</si>
  <si>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</si>
  <si>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</si>
  <si>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</si>
  <si>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</si>
  <si>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</si>
  <si>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</si>
  <si>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</si>
  <si>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</si>
  <si>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</si>
  <si>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</si>
  <si>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</si>
  <si>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</si>
  <si>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</si>
  <si>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</si>
  <si>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</si>
  <si>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</si>
  <si>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</si>
  <si>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</si>
  <si>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</si>
  <si>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</si>
  <si>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</si>
  <si>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</si>
  <si>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</si>
  <si>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</si>
  <si>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</si>
  <si>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</si>
  <si>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</si>
  <si>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</si>
  <si>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</si>
  <si>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</si>
  <si>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</si>
  <si>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</si>
  <si>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</si>
  <si>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</si>
  <si>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</si>
  <si>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</si>
  <si>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</si>
  <si>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2018.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</si>
  <si>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</si>
  <si>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</si>
  <si>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</si>
  <si>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</si>
  <si>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</si>
  <si>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</si>
  <si>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</si>
  <si>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</si>
  <si>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</si>
  <si>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</si>
  <si>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</si>
  <si>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</si>
  <si>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</si>
  <si>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</si>
  <si>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</si>
  <si>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</si>
  <si>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PMK/22-3/2012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</si>
  <si>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</si>
  <si>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</si>
  <si>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</si>
  <si>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</si>
  <si>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</si>
  <si>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</si>
  <si>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</si>
  <si>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</si>
  <si>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</si>
  <si>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</si>
  <si>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</si>
  <si>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</si>
  <si>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</si>
  <si>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</si>
  <si>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</si>
  <si>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Webmark Europe Kft - honlapok(3db) üzemeltetése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</si>
  <si>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</si>
  <si>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</si>
  <si>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</si>
  <si>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</si>
  <si>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</si>
  <si>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</si>
  <si>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</si>
  <si>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</si>
  <si>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</si>
  <si>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</si>
  <si>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</si>
  <si>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</si>
  <si>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</si>
  <si>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NetStandard Informatikai Kft - szerver üzemeltetés (hevizairport.hu)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</si>
  <si>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</si>
  <si>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</si>
  <si>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</si>
  <si>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</si>
  <si>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</si>
  <si>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</si>
  <si>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</si>
  <si>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</si>
  <si>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</si>
  <si>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</si>
  <si>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</si>
  <si>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</si>
  <si>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</si>
  <si>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</si>
  <si>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</si>
  <si>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</si>
  <si>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</si>
  <si>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</si>
  <si>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</si>
  <si>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</si>
  <si>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</si>
  <si>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</si>
  <si>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</si>
  <si>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</si>
  <si>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</si>
  <si>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</si>
  <si>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</si>
  <si>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</si>
  <si>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</si>
  <si>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</si>
  <si>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</si>
  <si>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</si>
  <si>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</si>
  <si>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</si>
  <si>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</si>
  <si>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</si>
  <si>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</si>
  <si>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</si>
  <si>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</si>
  <si>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</si>
  <si>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</si>
  <si>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</si>
  <si>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</si>
  <si>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</si>
  <si>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</si>
  <si>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</si>
  <si>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</si>
  <si>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</si>
  <si>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</si>
  <si>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</si>
  <si>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</si>
  <si>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</si>
  <si>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</si>
  <si>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</si>
  <si>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</si>
  <si>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</si>
  <si>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</si>
  <si>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</si>
  <si>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</si>
  <si>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</si>
  <si>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</si>
  <si>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</si>
  <si>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</si>
  <si>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</si>
  <si>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</si>
  <si>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</si>
  <si>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</si>
  <si>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</si>
  <si>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</si>
  <si>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</si>
  <si>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</si>
  <si>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</si>
  <si>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</si>
  <si>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</si>
  <si>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</si>
  <si>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</si>
  <si>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</si>
  <si>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</si>
  <si>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</si>
  <si>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</si>
  <si>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</si>
  <si>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</si>
  <si>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</si>
  <si>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</si>
  <si>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</si>
  <si>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</si>
  <si>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</si>
  <si>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</si>
  <si>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</si>
  <si>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</si>
  <si>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</si>
  <si>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</si>
  <si>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</si>
  <si>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</si>
  <si>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</si>
  <si>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</si>
  <si>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</si>
  <si>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</si>
  <si>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</si>
  <si>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</si>
  <si>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</si>
  <si>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</si>
  <si>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</si>
  <si>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</si>
  <si>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</si>
  <si>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</si>
  <si>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</si>
  <si>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</si>
  <si>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</si>
  <si>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</si>
  <si>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</si>
  <si>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</si>
  <si>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</si>
  <si>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</si>
  <si>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</si>
  <si>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</si>
  <si>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</si>
  <si>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</si>
  <si>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</si>
  <si>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</si>
  <si>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</si>
  <si>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</si>
  <si>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</si>
  <si>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</si>
  <si>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</si>
  <si>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</si>
  <si>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</si>
  <si>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</si>
  <si>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</si>
  <si>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</si>
  <si>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</si>
  <si>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</si>
  <si>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</si>
  <si>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</si>
  <si>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</si>
  <si>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</si>
  <si>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</si>
  <si>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</si>
  <si>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</si>
  <si>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</si>
  <si>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</si>
  <si>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</si>
  <si>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</si>
  <si>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</si>
  <si>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</si>
  <si>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>2017. évi várható bevétel</t>
  </si>
  <si>
    <t xml:space="preserve">  II.1.(4)2 óvodapedagógusok átlagbérének és közterheinek pótlólagos összege 2017/2017. tanévre</t>
  </si>
  <si>
    <t xml:space="preserve">  .../2017. (……..) önkormányzati rendelet 5. melléklete</t>
  </si>
  <si>
    <t>Térfigyelő kamerarendszer működtetés</t>
  </si>
  <si>
    <t>6</t>
  </si>
  <si>
    <t>Romkert gondnok</t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</si>
  <si>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</si>
  <si>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</si>
  <si>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</si>
  <si>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</si>
  <si>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</si>
  <si>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</si>
  <si>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</si>
  <si>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</si>
  <si>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</si>
  <si>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</si>
  <si>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Törlesztés</t>
  </si>
  <si>
    <t>Ápolási támogatás</t>
  </si>
  <si>
    <t>Települési támogatás összesen:</t>
  </si>
  <si>
    <t>Természetbeni ellátások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</si>
  <si>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</si>
  <si>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</si>
  <si>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</si>
  <si>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</si>
  <si>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</si>
  <si>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</si>
  <si>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</si>
  <si>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</si>
  <si>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</si>
  <si>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</si>
  <si>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</si>
  <si>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</si>
  <si>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</si>
  <si>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</si>
  <si>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</si>
  <si>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</si>
  <si>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</si>
  <si>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</si>
  <si>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</si>
  <si>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</si>
  <si>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</si>
  <si>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</si>
  <si>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parkoló helyek megvalósításához terv készítés</t>
  </si>
  <si>
    <t>új beruházás</t>
  </si>
  <si>
    <t>Zrínyi utca külterületi szakasz közmű és zöldfelület tervezés</t>
  </si>
  <si>
    <t>"Hévíz - Gyógytó kifolyó víz hőszivattyús energiahasznosítása"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</si>
  <si>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</si>
  <si>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</si>
  <si>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</si>
  <si>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</si>
  <si>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</si>
  <si>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>TC Informatika Kft - közterületfigyelő rendszer üzemeltetése</t>
  </si>
  <si>
    <t>SZO/181-28/2016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</si>
  <si>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</si>
  <si>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</si>
  <si>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</si>
  <si>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</si>
  <si>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</si>
  <si>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t>Bölcsődei gyógypedagógiai asszisztens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</si>
  <si>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</si>
  <si>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</si>
  <si>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</si>
  <si>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</si>
  <si>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</si>
  <si>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</si>
  <si>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</si>
  <si>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</si>
  <si>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Hévíz és Térsége KamaraiTagok Kultúrális Alapítványa</t>
  </si>
  <si>
    <t>Keszthelyi Mentők Alapítvány</t>
  </si>
  <si>
    <t>Hévízi Kulturális Központ Nonprofit Kft.</t>
  </si>
  <si>
    <t xml:space="preserve">Hévíz Sportkör visszatérítendő támogatás </t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</si>
  <si>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</si>
  <si>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</si>
  <si>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</si>
  <si>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</si>
  <si>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</si>
  <si>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</si>
  <si>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>Festetics sétány kialakítására vonatkozó tervek</t>
  </si>
  <si>
    <t>Fenntartható közlekedés TOP-3.1.1-15-ZA1-2016-00007</t>
  </si>
  <si>
    <t>Hévíz Sortkör felhalmozási támogatás (weboldal fejlesztés)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</si>
  <si>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</si>
  <si>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</si>
  <si>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</si>
  <si>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>502219 Termelői piac fejlesztés TOP-1.1.3-15</t>
  </si>
  <si>
    <t xml:space="preserve"> 502301 ASP rendszer bevezetése </t>
  </si>
  <si>
    <t xml:space="preserve"> 503201 Működési célú pénzeszköz átadás</t>
  </si>
  <si>
    <t xml:space="preserve"> 503304 Gyógyszertámogatás</t>
  </si>
  <si>
    <t xml:space="preserve"> 503306 Lakhatási támogatás</t>
  </si>
  <si>
    <t xml:space="preserve"> 503401 Munkáltatói kölcsön kiadásai </t>
  </si>
  <si>
    <t xml:space="preserve"> 503402 Lakossági kölcsön kiadásai</t>
  </si>
  <si>
    <t xml:space="preserve"> 504201 Továbbszámlázások</t>
  </si>
  <si>
    <t xml:space="preserve"> 505101 Önkormány.jogalk.</t>
  </si>
  <si>
    <t>505102 Nemzetközi kapcsolatok</t>
  </si>
  <si>
    <t>505102 Nagyköveti program</t>
  </si>
  <si>
    <t xml:space="preserve"> 505103 Reprezentáció</t>
  </si>
  <si>
    <t xml:space="preserve"> 505201 Hévíz folyóirat</t>
  </si>
  <si>
    <t>505202 Forrás újság</t>
  </si>
  <si>
    <t xml:space="preserve"> 505301 Főépítészi feladatok ellátása</t>
  </si>
  <si>
    <t xml:space="preserve"> 505302 Gyepmesteri és állatorvosi feladatok</t>
  </si>
  <si>
    <t>505401 Parkolási tevékenység</t>
  </si>
  <si>
    <t xml:space="preserve"> 505402  HeBi üzemeltetés</t>
  </si>
  <si>
    <t xml:space="preserve"> 505501 Közvilágítás</t>
  </si>
  <si>
    <t xml:space="preserve"> 505502 Város- és községgazdálkodás</t>
  </si>
  <si>
    <t xml:space="preserve">505601 Nyári napközi </t>
  </si>
  <si>
    <t>503301 Szociális célú tüzifa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</si>
  <si>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</si>
  <si>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</si>
  <si>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</si>
  <si>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</si>
  <si>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502205 Egregyi temetőkápolna, temetőkert</t>
  </si>
  <si>
    <t>505802 "Transforming your city"</t>
  </si>
  <si>
    <t>505803 "SporOverBorder - Hévíz"</t>
  </si>
  <si>
    <t xml:space="preserve"> Gépjármű üzemeltetés (2017. 07. 01 napjától)</t>
  </si>
  <si>
    <t>502206 Buszpályaudvar áttelepítése</t>
  </si>
  <si>
    <t>502201 Széchenyi utca fejlesztése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</si>
  <si>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</si>
  <si>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</si>
  <si>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</si>
  <si>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</si>
  <si>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</si>
  <si>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</si>
  <si>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</si>
  <si>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</si>
  <si>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>HEBI dokk létesítés (Fenntartható közlekedés TOP-3.1.1-15-ZA1-00007)</t>
  </si>
  <si>
    <t xml:space="preserve">Informatikai eszközök beszerzése </t>
  </si>
  <si>
    <t>502207 "Gyógyhelyi főtér" GINOP-7.1.9-17</t>
  </si>
  <si>
    <t>5022255 "Zala két keréken" TOP-3.1.1-15-ZA-2016-00005</t>
  </si>
  <si>
    <t>Ápolás, gondozás, otthoni ellátás+mentalhigiénés munkatárs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</si>
  <si>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</si>
  <si>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</si>
  <si>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</si>
  <si>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</si>
  <si>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</si>
  <si>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</si>
  <si>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</si>
  <si>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</si>
  <si>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</si>
  <si>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</si>
  <si>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</si>
  <si>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</si>
  <si>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</si>
  <si>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</si>
  <si>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</si>
  <si>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</si>
  <si>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</si>
  <si>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</si>
  <si>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</si>
  <si>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</si>
  <si>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</si>
  <si>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</si>
  <si>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</si>
  <si>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</si>
  <si>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</si>
  <si>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</si>
  <si>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</si>
  <si>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</si>
  <si>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>Alsópáhok adó-átadás</t>
  </si>
  <si>
    <t>Keszthely adó- átadás</t>
  </si>
  <si>
    <t>Tárgyi eszközök (2db klima, 1db ipari mosogatógép)</t>
  </si>
  <si>
    <t>Tárgyi eszköz beszerzés (Klimatizálás-Szt. András 2 szint folyosójának, 2 db elektromos ágy, 1db ipari mosogatógép</t>
  </si>
  <si>
    <t>Egyéb  tárgyi eszköz beszerzés (1db pohárautomata ivőkúthoz, 8 db számítógép beszerzés, interkativ érnitőképernyős felület, televízió)</t>
  </si>
  <si>
    <t xml:space="preserve">2018. évi pénzügyi mérleg </t>
  </si>
  <si>
    <t xml:space="preserve">2018. évi működési pénzügyi mérleg </t>
  </si>
  <si>
    <t xml:space="preserve">2018. évi előirányzat </t>
  </si>
  <si>
    <t xml:space="preserve">2018. évi felhalmozási pénzügyi mérleg </t>
  </si>
  <si>
    <t>2018. évi közhatalmi bevételek</t>
  </si>
  <si>
    <t>2018. évi költségvetés felhalmozási bevételek</t>
  </si>
  <si>
    <t>2018. évi költségvetési rendelet</t>
  </si>
  <si>
    <t xml:space="preserve">2018. évi pénzügyi mérlege </t>
  </si>
  <si>
    <t xml:space="preserve">2018. évi Pénzügyi mérleg </t>
  </si>
  <si>
    <t xml:space="preserve">2018.  évi működési célú és egyéb kiadások feladatonként </t>
  </si>
  <si>
    <t>2018. évi pénzügyi mérleg</t>
  </si>
  <si>
    <t>2018. évi  engedélyezett létszámkeret</t>
  </si>
  <si>
    <t>Közép-keleti város rész csapadékelvezetés tervezése és kivitelezése (Babocsay és Dombföldi utca)</t>
  </si>
  <si>
    <t>Szoftver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</si>
  <si>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</si>
  <si>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</si>
  <si>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</si>
  <si>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</si>
  <si>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 xml:space="preserve">Költségvetési  szerveknél foglalkoztatottak 2017. dec. bérkompenzációja </t>
  </si>
  <si>
    <t xml:space="preserve">                                                                        2018. évi bérkompenzáció</t>
  </si>
  <si>
    <t>Számítástechnika váratlan meghibásodása miatti beszerzés</t>
  </si>
  <si>
    <t>Eszköz beszerzés</t>
  </si>
  <si>
    <t>Felosztható keret</t>
  </si>
  <si>
    <t xml:space="preserve">Polgármesteri Hivatal épülete fűrtéskorszerűsítése </t>
  </si>
  <si>
    <t>5</t>
  </si>
  <si>
    <t>"RefurbCulture" projekt eszköz HUHR</t>
  </si>
  <si>
    <t xml:space="preserve"> 502224 "ReforbCulture" projekt</t>
  </si>
  <si>
    <t>Nagyparkoló zöldterületének és közlekedési ter. megújítása (Zöldváros) TOP-2.1.2-15-ZA1-2016-00004</t>
  </si>
  <si>
    <t>Hévízi TV Nonprofit Kft</t>
  </si>
  <si>
    <t>Nagykanizsai Tankerületi Központ</t>
  </si>
  <si>
    <t>Informatikai beruházás</t>
  </si>
  <si>
    <t>Kisértékű tárgyi eszköz</t>
  </si>
  <si>
    <t>Szt. András utcai épület homlokzat felújítás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</si>
  <si>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</si>
  <si>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</si>
  <si>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</si>
  <si>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</si>
  <si>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kék = fajlagos támogatási összeg változás előző évhez képest</t>
  </si>
  <si>
    <t>2018. évi költségvetés</t>
  </si>
  <si>
    <t>2018. évi egyéb működési célú támogatások ÁHT-én beülre és  és működési támogatások ÁHT-n kívülre</t>
  </si>
  <si>
    <t>2018. évi felhalmozási kiadásai</t>
  </si>
  <si>
    <t xml:space="preserve">előirányzat felhasználási ütemterv a 2018. évi  költségvetési rendelethez </t>
  </si>
  <si>
    <t>Finanszírozási kiadás</t>
  </si>
  <si>
    <t>Áht-n belüli megelőlegzések visszafizetése</t>
  </si>
  <si>
    <t>7/1.</t>
  </si>
  <si>
    <t>7/2.</t>
  </si>
  <si>
    <t>7/3.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</si>
  <si>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</si>
  <si>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</si>
  <si>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</si>
  <si>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</si>
  <si>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</si>
  <si>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>Hévíz 2102. hrsz-ú ingatlan (+kisajátítási terv)</t>
  </si>
  <si>
    <t xml:space="preserve">              Bölcsődei dajkák, középfokú végzettségű kisgyermeknevelők, szaktanácsadók bértámogatása</t>
  </si>
  <si>
    <t>505701 Vagyongazdálkodás kiadásai</t>
  </si>
  <si>
    <t>505702 Hévíz-Gyógytó kifolyó víz hőszivattyús energia hasznosítása</t>
  </si>
  <si>
    <t>2/2.</t>
  </si>
  <si>
    <t>2/1.</t>
  </si>
  <si>
    <t>Buszpályaudvar enged.és kiviteli terv (+ láp terület hatástanulmány 6.000 e Ft)</t>
  </si>
  <si>
    <t>Gyógyhelyi főtér kialakítás (kiviteli tervezés)</t>
  </si>
  <si>
    <t>15/1.</t>
  </si>
  <si>
    <t>15/2.</t>
  </si>
  <si>
    <t>505502 Város és közs.gazd. (Sportszálló alatti Eon vezeték kiváltása)</t>
  </si>
  <si>
    <t>505502 Város és közs.gazd. (Városi sportcsarnok bontása)</t>
  </si>
  <si>
    <t>Magyar Máltai Szeretetszolgálat: Támogató szolgálat</t>
  </si>
  <si>
    <t>Mérték  (2018. évi január 1. napjától)</t>
  </si>
  <si>
    <t xml:space="preserve">2018. évi bevételi terv  </t>
  </si>
  <si>
    <t xml:space="preserve">2018. évi előirányzat összesen </t>
  </si>
  <si>
    <t xml:space="preserve">2018. évi bevételi előirányzat </t>
  </si>
  <si>
    <t>2018. évi terv</t>
  </si>
  <si>
    <t xml:space="preserve">2018.  évi előirányzat </t>
  </si>
  <si>
    <t>Új szinpad (heti 20 óra)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</si>
  <si>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 3.103 adótárgy, 281.358 m</t>
    </r>
    <r>
      <rPr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-re vonatkozóan</t>
    </r>
  </si>
  <si>
    <t>Hitelállomány 2018. 01. 01. napján</t>
  </si>
  <si>
    <t>a költségvetési évet követő három évre kihatással járó döntésekből származó kötelezettségek célok szerint, évenkénti bontásban</t>
  </si>
  <si>
    <t>2020.</t>
  </si>
  <si>
    <t>2021.</t>
  </si>
  <si>
    <t>SZO/465-2/2016</t>
  </si>
  <si>
    <t xml:space="preserve">Karsád György János EV </t>
  </si>
  <si>
    <t>Cserna-Szabó András - Hévíz Folyóirat főszerkesztői  feladatok ellátása</t>
  </si>
  <si>
    <t>Fehér Renátó - Héviz Folyóirat szerkesztői feladatok ellátásaSzálinger Balázs - Hévíz Folyóirat főszerkesztői feladatok ellátása</t>
  </si>
  <si>
    <t>PMK/13-2/2017</t>
  </si>
  <si>
    <t>2017.02.25+3év</t>
  </si>
  <si>
    <t>PMK/14-2/2017</t>
  </si>
  <si>
    <t>PMK/14-1/2017</t>
  </si>
  <si>
    <t>SZO/492-1/2017</t>
  </si>
  <si>
    <t>Lukács Péter Dániel - városi rendezvényekről sajtó fotó készités</t>
  </si>
  <si>
    <t>…./2017. 07.12.</t>
  </si>
  <si>
    <t>ZNET Telekom Zrt - internet szolg. (Rózsakert)</t>
  </si>
  <si>
    <t>KGO/217-14/2017</t>
  </si>
  <si>
    <t>CIB Bank Zrt - Önk.Infr.Fejl.Program 2020 - hitel</t>
  </si>
  <si>
    <t>SZO/4-13/2017</t>
  </si>
  <si>
    <t>Dr. Farkas Ügyvédi Iroda</t>
  </si>
  <si>
    <t>KGO/208-1/2017</t>
  </si>
  <si>
    <t>EMoGÁ Kft</t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</si>
  <si>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</t>
    </r>
  </si>
  <si>
    <t>2/2018. (I. 25.) önkormányzati rendelet 1/3. melléklete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</si>
  <si>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</si>
  <si>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2/2018. (I. 25.) önkormányzati rendelet 2/4. melléklete</t>
  </si>
  <si>
    <t>2/2018. (I. 25.) önkormányzati rendelet 4. melléklete</t>
  </si>
  <si>
    <t xml:space="preserve"> 2/2018. (I. 25.) önkormányzati rendelet 6. melléklete</t>
  </si>
  <si>
    <t>2/2018. (I. 25.) önkormányzati rendelet 7. melléklete</t>
  </si>
  <si>
    <t xml:space="preserve">  2/2018. (I. 25.) önkormányzati rendelet 8. melléklete </t>
  </si>
  <si>
    <t>Világörökségi helyszínek fejlesztése-Festetics sétány GINOP-7.1.6-16-2017-00004</t>
  </si>
  <si>
    <t>SportOverBorders Hévíz projekt HUHR/1601/3.1.2/0013</t>
  </si>
  <si>
    <t>RefurbCulture HUHR/1601/3.1.1/0016</t>
  </si>
  <si>
    <t>Hévíz-Balaton Airport Kft</t>
  </si>
  <si>
    <t>Nemzeti Választási Iroda</t>
  </si>
  <si>
    <t>64.</t>
  </si>
  <si>
    <t>65.</t>
  </si>
  <si>
    <t>66.</t>
  </si>
  <si>
    <t>Szociális és Gyermekvédelmi Főigazgatóság</t>
  </si>
  <si>
    <t>Hévízi Református Egyházközösség</t>
  </si>
  <si>
    <t>"Egy fürdőváros születése - Hévíz története" I. kötet (Csala Tamás ev.)</t>
  </si>
  <si>
    <t>"Egy fürdőváros születése - Hévíz története" II. kötet (Szántó András ev.)</t>
  </si>
  <si>
    <t>12/1.</t>
  </si>
  <si>
    <t>12/2.</t>
  </si>
  <si>
    <t>Festetics sétány (Világörökségi helyszínek fejlesztése projekt) GINOP-7.1.6-16-2017-00004</t>
  </si>
  <si>
    <r>
      <rPr>
        <sz val="8"/>
        <rFont val="Times New Roman"/>
        <family val="1"/>
        <charset val="238"/>
      </rPr>
      <t>Hévíz, Zrinyí utca fejlesztés</t>
    </r>
    <r>
      <rPr>
        <b/>
        <sz val="8"/>
        <color rgb="FF0070C0"/>
        <rFont val="Times New Roman"/>
        <family val="1"/>
        <charset val="238"/>
      </rPr>
      <t xml:space="preserve"> (Kormányzati döntés alapján!)</t>
    </r>
  </si>
  <si>
    <t>Pócza Villa korszerűsítáéése (RefurbCulture projekt HUHR/1601/3.1.3/0016</t>
  </si>
  <si>
    <t>7</t>
  </si>
  <si>
    <t>Festetics sétány eszközbeszerzés (Világörökségi helyszínek fejlesztése projekt) GINOP-7.1.6-16-2017-00004</t>
  </si>
  <si>
    <t xml:space="preserve">Egyéb szálláshelyek 2019. évi minőségfejlesztési támogatása </t>
  </si>
  <si>
    <t xml:space="preserve">Bencés Szellemiségért Alapítvány </t>
  </si>
  <si>
    <t>20 db BIGTENT H40 sátor beszerzés</t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</si>
  <si>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(911.000 ezer Ft-hoz Kormányzati döntés alapján!)</t>
    </r>
  </si>
  <si>
    <r>
      <t xml:space="preserve">Nagyparkoló átalakítása </t>
    </r>
    <r>
      <rPr>
        <b/>
        <sz val="8"/>
        <color rgb="FF0070C0"/>
        <rFont val="Times New Roman"/>
        <family val="1"/>
        <charset val="238"/>
      </rPr>
      <t>(150.000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</si>
  <si>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(53.000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</si>
  <si>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(19.000 ezer Ft-hoz Kormányzati döntés alapján!)</t>
    </r>
  </si>
  <si>
    <t>Széchenyi utcával kapcsolatos munkák tartaléka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</si>
  <si>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"Zala két keréken" TOP 3.1.1-15-ZA1-2016-00005 projekt foly. Előleg</t>
    </r>
  </si>
  <si>
    <t>"Zala két keréken" TOP 3.1.1-15-ZA1-2016-00005 projekt foly. Előleg</t>
  </si>
  <si>
    <t>"Aktív bevonással megvalósuló Zöldváros tervezése" projekt pályázati önerő</t>
  </si>
  <si>
    <r>
      <rPr>
        <sz val="10"/>
        <color indexed="8"/>
        <rFont val="Times New Roman"/>
        <family val="1"/>
        <charset val="238"/>
      </rPr>
      <t>Hitel felvétel</t>
    </r>
    <r>
      <rPr>
        <b/>
        <sz val="10"/>
        <color rgb="FF0070C0"/>
        <rFont val="Times New Roman"/>
        <family val="1"/>
        <charset val="238"/>
      </rPr>
      <t xml:space="preserve"> (110.160 ezer Ft-hoz Kormányzati döntés alapján!)</t>
    </r>
    <r>
      <rPr>
        <sz val="10"/>
        <color indexed="8"/>
        <rFont val="Times New Roman"/>
        <family val="1"/>
        <charset val="238"/>
      </rPr>
      <t xml:space="preserve"> buszpályaudvar korábbi telekvásárlásra vonatkozó összege </t>
    </r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</si>
  <si>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</si>
  <si>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</si>
  <si>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</si>
  <si>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</si>
  <si>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</si>
  <si>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</si>
  <si>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</si>
  <si>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502218 Zrinyi u. külterületen közmű és zöldfelület felúj.</t>
  </si>
  <si>
    <t>503107 Jelzőrendszeres házi segítségnyújtás</t>
  </si>
  <si>
    <t xml:space="preserve">502221 Festetics sétány </t>
  </si>
  <si>
    <t xml:space="preserve">Zrínyi utca  99-179. házszám közötti szakasz út, közmű és zöldfelületi felújítás (terv készítés) </t>
  </si>
  <si>
    <t xml:space="preserve">13. melléklet a 16/2018. (IV. 26.) rendelethez, 2/3. melléklet a 2/2018. (I. 25.) önkormányzati rendelethez </t>
  </si>
  <si>
    <t>EEM Szociális és Gyermekvédelmi Főigazgatóság</t>
  </si>
  <si>
    <t>67.</t>
  </si>
  <si>
    <t xml:space="preserve">Vis maior támogatás </t>
  </si>
  <si>
    <t>Felhalmozási pénzeszköz átvétel Áht-n belülről összesen:</t>
  </si>
  <si>
    <t>Felhalmozási pénzeszköz átvétel Áht-n kívülről összesen:</t>
  </si>
  <si>
    <t>Teréz Anya Szociális Integrált Intézmény</t>
  </si>
  <si>
    <t>Felhalmozási bevételek:</t>
  </si>
  <si>
    <t>Felhalmozási célú állami támogatások</t>
  </si>
  <si>
    <t>Felhalmozási célú állami támogatások összesen:</t>
  </si>
  <si>
    <t>Fiat Doblo gépkocsi értékesítés</t>
  </si>
  <si>
    <t>Felhalmozási bevételek összesen.:</t>
  </si>
  <si>
    <t>Teréz Anya Szociális Integrált Intézmény összesen:</t>
  </si>
  <si>
    <t>Bencés Szellemiségért Alapítvány</t>
  </si>
  <si>
    <t>Hévízgyógyfürdő és Reumakórház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</si>
  <si>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</si>
  <si>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</si>
  <si>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</si>
  <si>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</si>
  <si>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</si>
  <si>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</si>
  <si>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</si>
  <si>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Városi térfigyelő kamerarendszer üzemeltetési szabályzat</t>
  </si>
  <si>
    <t>Polgármesteri Hivatal épületében lévő lift felújítása</t>
  </si>
  <si>
    <t>új felújítás</t>
  </si>
  <si>
    <t>Nagyparkoló T jelű belterületi út építáése, forgalomtechnika (adósságkonsz . + 2.644 ezer Ft önerő)</t>
  </si>
  <si>
    <t>Nyírfa utcai projekt (adósságkonsz. + 4.308 ezer Ft önerő)</t>
  </si>
  <si>
    <t>Gersei -Pethő utcai csapadékvíz elvezetés kivitelezése</t>
  </si>
  <si>
    <t>Kölcsey u. és Ady u között 420 m hosszú zárt rendszerű csapadékvíz elvezetés kialakítása</t>
  </si>
  <si>
    <t xml:space="preserve">Piac tervezési módosítás (Pályázatban nem elszámolható!) </t>
  </si>
  <si>
    <t>Zm-i Rendőr -főkapitányság</t>
  </si>
  <si>
    <t>12 db GLOBALTRUSS F33 alukapu és tartozékai</t>
  </si>
  <si>
    <t>2 db klíma berendezés</t>
  </si>
  <si>
    <t>4.  Brunszvik Teréz Napközi Otthonos Óvoda</t>
  </si>
  <si>
    <r>
      <t>Kölcsey u. és Ady u. közötti zárt rendszerű csapadékvíz elvezetés</t>
    </r>
    <r>
      <rPr>
        <b/>
        <sz val="10"/>
        <color rgb="FF0070C0"/>
        <rFont val="Times New Roman"/>
        <family val="1"/>
        <charset val="238"/>
      </rPr>
      <t xml:space="preserve"> (Kormányzati döntés alapján!) </t>
    </r>
  </si>
  <si>
    <t xml:space="preserve">       2.1.  Felhalmozási célú önk-i támogatások (B21)</t>
  </si>
  <si>
    <t xml:space="preserve">       2.5. Egyéb felhalmozási célú támogatás Áht-n belülről (B25)</t>
  </si>
  <si>
    <t xml:space="preserve">    2. Felhalmozási célú támogatások államháztartáson belülről</t>
  </si>
  <si>
    <t xml:space="preserve">     6. Működési célú átvett pénzeszközök </t>
  </si>
  <si>
    <t>Hévíz Kulturális Központ Nonprofit Kft</t>
  </si>
  <si>
    <t>működési célú támogatások államháztartáson belülről  és kívülről</t>
  </si>
  <si>
    <t xml:space="preserve">2. melléklet a 22/2018. (VI. 28.) rendelethez, 1/1. melléklet a 2/2018. (I. 25.) önkormányzati rendelethez </t>
  </si>
  <si>
    <t xml:space="preserve">3. melléklet a 22/2018. (VI. 28.) rendelethez, 1/2. melléklet a 2/2018. (I. 25.) önkormányzati rendelethez </t>
  </si>
  <si>
    <t xml:space="preserve">5. melléklet a 22/2018. (VI. 28.) rendelethez, 1/5. melléklet a 2/2018. (I. 25.) önkormányzati rendelethez </t>
  </si>
  <si>
    <t xml:space="preserve">6. melléklet a 22/2018. (VI. 28.) rendelethez, 1/6. melléklet a 2/2018. (I. 25.) önkormányzati rendelethez </t>
  </si>
  <si>
    <t xml:space="preserve">7. melléklet a 22/2018. (VI. 28.) rendelethez, 1/7. melléklet a 2/2018. (I. 25.) önkormányzati rendelethez </t>
  </si>
  <si>
    <t xml:space="preserve">8. melléklet a 22/2018. (VI. 28.) rendelethez, 1/8. melléklet a 2/2018. (I. 25.) önkormányzati rendelethez </t>
  </si>
  <si>
    <t xml:space="preserve">9. melléklet a 22/2018. (VI. 28.) rendelethez, 1/9. melléklet a 2/2018. (I. 25.) önkormányzati rendelethez </t>
  </si>
  <si>
    <t xml:space="preserve">12. melléklet a 22/2018. (VI. 28.) rendelethez, 2/2. melléklet a 2/2018. (I. 25.) önkormányzati rendelethez </t>
  </si>
  <si>
    <t xml:space="preserve">17. melléklet a 22/2018. (VI. 28.) rendelethez, 5. melléklet a 2/2018. (I. 25.) önkormányzati rendelethez  </t>
  </si>
  <si>
    <t>Módosított előirányzat</t>
  </si>
  <si>
    <t>Módosító összeg</t>
  </si>
  <si>
    <t>Módosító Összeg</t>
  </si>
  <si>
    <t xml:space="preserve">4. melléklet a .../2018. (…....) rendelethez, 1/4. melléklet a 2/2018. (I. 25.) önkormányzati rendelethez </t>
  </si>
  <si>
    <t>I. Gr. Festetics Gy. Művelődési Központ</t>
  </si>
  <si>
    <t>Lakosság</t>
  </si>
  <si>
    <t>I. Gr. Festetics Gy. Művelődési Központ mindösszesen</t>
  </si>
  <si>
    <t>Hévíz Város turisztikai honlapjának fejlesztése</t>
  </si>
  <si>
    <t>Kötelező módosított ei</t>
  </si>
  <si>
    <t>Nem kötelező módosított ei</t>
  </si>
  <si>
    <t>Mód. összeg</t>
  </si>
  <si>
    <t>Mód ei</t>
  </si>
  <si>
    <t>Mód összeg</t>
  </si>
  <si>
    <t>Módosított eélőirányzat</t>
  </si>
  <si>
    <t>T/1/2.</t>
  </si>
  <si>
    <t xml:space="preserve">T/2. </t>
  </si>
  <si>
    <t>T/3.</t>
  </si>
  <si>
    <t xml:space="preserve">T/4. </t>
  </si>
  <si>
    <t>T/5</t>
  </si>
  <si>
    <t>T/1.1.</t>
  </si>
  <si>
    <t xml:space="preserve">                  felhalmozásci célú támog. államháztartáson kívülre (K89)</t>
  </si>
  <si>
    <t xml:space="preserve">                   felhalmozási célú tartalék  (K513)</t>
  </si>
  <si>
    <t xml:space="preserve">                  felhalmozási visszatérítendő tám., kölcsön Áht-n kív. (K86)</t>
  </si>
  <si>
    <t>2018. … ...-i módosított előirányzat</t>
  </si>
  <si>
    <t xml:space="preserve">2018. VI. 29-i módosított előirányzat </t>
  </si>
  <si>
    <t>T/1.</t>
  </si>
  <si>
    <t xml:space="preserve">                felhalmozási visszatérítendő tám., kölcsön Áht-n kív. (K86)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</si>
</sst>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</numFmts>
  <fonts count="15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7"/>
      <color rgb="FF00B05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i/>
      <sz val="7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10"/>
      <color rgb="FF0070C0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/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/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7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7" fillId="0" borderId="0"/>
    <xf numFmtId="0" fontId="1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2" fillId="0" borderId="0"/>
    <xf numFmtId="0" fontId="20" fillId="0" borderId="0"/>
    <xf numFmtId="0" fontId="95" fillId="0" borderId="0"/>
    <xf numFmtId="0" fontId="19" fillId="0" borderId="0"/>
    <xf numFmtId="0" fontId="18" fillId="0" borderId="0"/>
    <xf numFmtId="0" fontId="67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609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4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9" fillId="0" borderId="0" xfId="0" applyFont="1"/>
    <xf numFmtId="0" fontId="43" fillId="0" borderId="0" xfId="0" applyFont="1" applyAlignment="1">
      <alignment wrapText="1"/>
    </xf>
    <xf numFmtId="3" fontId="43" fillId="0" borderId="0" xfId="0" applyNumberFormat="1" applyFont="1"/>
    <xf numFmtId="3" fontId="44" fillId="0" borderId="0" xfId="0" applyNumberFormat="1" applyFont="1"/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3" fillId="0" borderId="0" xfId="0" applyFont="1"/>
    <xf numFmtId="3" fontId="20" fillId="0" borderId="0" xfId="0" applyNumberFormat="1" applyFont="1"/>
    <xf numFmtId="3" fontId="53" fillId="0" borderId="0" xfId="0" applyNumberFormat="1" applyFont="1"/>
    <xf numFmtId="3" fontId="53" fillId="0" borderId="0" xfId="0" applyNumberFormat="1" applyFont="1" applyBorder="1"/>
    <xf numFmtId="0" fontId="53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8" fillId="24" borderId="12" xfId="0" applyFont="1" applyFill="1" applyBorder="1" applyAlignment="1">
      <alignment horizontal="left" vertical="center" wrapText="1"/>
    </xf>
    <xf numFmtId="49" fontId="48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8" fillId="0" borderId="12" xfId="0" applyFont="1" applyBorder="1" applyAlignment="1">
      <alignment wrapText="1"/>
    </xf>
    <xf numFmtId="0" fontId="48" fillId="0" borderId="12" xfId="0" applyFont="1" applyBorder="1"/>
    <xf numFmtId="0" fontId="48" fillId="0" borderId="12" xfId="0" applyFont="1" applyBorder="1" applyAlignment="1">
      <alignment horizontal="right"/>
    </xf>
    <xf numFmtId="4" fontId="48" fillId="0" borderId="12" xfId="0" applyNumberFormat="1" applyFont="1" applyBorder="1" applyAlignment="1">
      <alignment horizontal="right"/>
    </xf>
    <xf numFmtId="167" fontId="48" fillId="0" borderId="12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50" fillId="0" borderId="0" xfId="0" applyFont="1" applyBorder="1"/>
    <xf numFmtId="0" fontId="50" fillId="0" borderId="0" xfId="0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0" fontId="48" fillId="0" borderId="0" xfId="0" applyFont="1" applyBorder="1" applyAlignment="1"/>
    <xf numFmtId="0" fontId="48" fillId="0" borderId="14" xfId="0" applyFont="1" applyBorder="1" applyAlignment="1">
      <alignment wrapText="1"/>
    </xf>
    <xf numFmtId="0" fontId="48" fillId="0" borderId="14" xfId="0" applyFont="1" applyBorder="1"/>
    <xf numFmtId="0" fontId="48" fillId="0" borderId="14" xfId="0" applyFont="1" applyBorder="1" applyAlignment="1">
      <alignment horizontal="right"/>
    </xf>
    <xf numFmtId="0" fontId="54" fillId="0" borderId="14" xfId="0" applyFont="1" applyBorder="1" applyAlignment="1">
      <alignment horizontal="right"/>
    </xf>
    <xf numFmtId="0" fontId="48" fillId="0" borderId="14" xfId="0" applyFont="1" applyBorder="1" applyAlignment="1"/>
    <xf numFmtId="0" fontId="54" fillId="0" borderId="12" xfId="0" applyFont="1" applyBorder="1" applyAlignment="1">
      <alignment wrapText="1"/>
    </xf>
    <xf numFmtId="0" fontId="54" fillId="0" borderId="12" xfId="0" applyFont="1" applyBorder="1"/>
    <xf numFmtId="0" fontId="54" fillId="0" borderId="12" xfId="0" applyFont="1" applyBorder="1" applyAlignment="1">
      <alignment horizontal="right"/>
    </xf>
    <xf numFmtId="0" fontId="50" fillId="0" borderId="12" xfId="0" applyFont="1" applyBorder="1" applyAlignment="1">
      <alignment horizontal="right"/>
    </xf>
    <xf numFmtId="0" fontId="50" fillId="0" borderId="15" xfId="0" applyFont="1" applyBorder="1" applyAlignment="1">
      <alignment wrapText="1"/>
    </xf>
    <xf numFmtId="0" fontId="50" fillId="0" borderId="15" xfId="0" applyFont="1" applyBorder="1"/>
    <xf numFmtId="0" fontId="50" fillId="0" borderId="15" xfId="0" applyFont="1" applyBorder="1" applyAlignment="1">
      <alignment horizontal="right"/>
    </xf>
    <xf numFmtId="0" fontId="48" fillId="0" borderId="15" xfId="0" applyFont="1" applyBorder="1" applyAlignment="1">
      <alignment horizontal="right"/>
    </xf>
    <xf numFmtId="0" fontId="48" fillId="0" borderId="10" xfId="0" applyFont="1" applyBorder="1" applyAlignment="1">
      <alignment horizontal="right"/>
    </xf>
    <xf numFmtId="0" fontId="48" fillId="0" borderId="0" xfId="0" applyFont="1" applyBorder="1"/>
    <xf numFmtId="0" fontId="54" fillId="0" borderId="0" xfId="0" applyFont="1" applyBorder="1" applyAlignment="1">
      <alignment horizontal="right"/>
    </xf>
    <xf numFmtId="0" fontId="55" fillId="0" borderId="14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wrapText="1"/>
    </xf>
    <xf numFmtId="49" fontId="48" fillId="0" borderId="12" xfId="0" applyNumberFormat="1" applyFont="1" applyBorder="1" applyAlignment="1">
      <alignment horizontal="right"/>
    </xf>
    <xf numFmtId="0" fontId="48" fillId="0" borderId="0" xfId="0" applyFont="1" applyBorder="1" applyAlignment="1">
      <alignment wrapText="1"/>
    </xf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5" fillId="0" borderId="0" xfId="78" applyNumberFormat="1" applyFont="1"/>
    <xf numFmtId="0" fontId="28" fillId="0" borderId="0" xfId="78" applyFont="1"/>
    <xf numFmtId="0" fontId="60" fillId="0" borderId="0" xfId="78" applyFont="1"/>
    <xf numFmtId="0" fontId="61" fillId="0" borderId="0" xfId="78" applyFont="1"/>
    <xf numFmtId="0" fontId="30" fillId="0" borderId="0" xfId="78" applyFont="1"/>
    <xf numFmtId="3" fontId="37" fillId="0" borderId="0" xfId="78" applyNumberFormat="1" applyFont="1"/>
    <xf numFmtId="3" fontId="60" fillId="0" borderId="0" xfId="78" applyNumberFormat="1" applyFont="1"/>
    <xf numFmtId="0" fontId="57" fillId="0" borderId="0" xfId="0" applyFont="1"/>
    <xf numFmtId="0" fontId="65" fillId="0" borderId="0" xfId="0" applyFont="1"/>
    <xf numFmtId="3" fontId="57" fillId="0" borderId="0" xfId="0" applyNumberFormat="1" applyFont="1"/>
    <xf numFmtId="3" fontId="57" fillId="0" borderId="0" xfId="0" applyNumberFormat="1" applyFont="1" applyBorder="1"/>
    <xf numFmtId="3" fontId="57" fillId="0" borderId="19" xfId="0" applyNumberFormat="1" applyFont="1" applyBorder="1"/>
    <xf numFmtId="0" fontId="64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6" fillId="0" borderId="0" xfId="0" applyFont="1"/>
    <xf numFmtId="49" fontId="28" fillId="0" borderId="0" xfId="78" applyNumberFormat="1" applyFont="1" applyBorder="1" applyAlignment="1">
      <alignment horizontal="center" vertical="center" wrapText="1"/>
    </xf>
    <xf numFmtId="0" fontId="50" fillId="0" borderId="20" xfId="0" applyFont="1" applyBorder="1" applyAlignment="1">
      <alignment wrapText="1"/>
    </xf>
    <xf numFmtId="0" fontId="50" fillId="0" borderId="20" xfId="0" applyFont="1" applyBorder="1"/>
    <xf numFmtId="0" fontId="50" fillId="0" borderId="20" xfId="0" applyFont="1" applyBorder="1" applyAlignment="1">
      <alignment horizontal="right"/>
    </xf>
    <xf numFmtId="0" fontId="48" fillId="0" borderId="20" xfId="0" applyFont="1" applyBorder="1" applyAlignment="1">
      <alignment horizontal="right"/>
    </xf>
    <xf numFmtId="3" fontId="57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6" fillId="0" borderId="0" xfId="0" applyNumberFormat="1" applyFont="1"/>
    <xf numFmtId="0" fontId="56" fillId="0" borderId="0" xfId="0" applyFont="1" applyAlignment="1">
      <alignment wrapText="1"/>
    </xf>
    <xf numFmtId="0" fontId="71" fillId="0" borderId="0" xfId="0" applyFont="1"/>
    <xf numFmtId="0" fontId="31" fillId="0" borderId="0" xfId="0" applyFont="1"/>
    <xf numFmtId="0" fontId="56" fillId="0" borderId="0" xfId="0" applyFont="1" applyAlignment="1">
      <alignment horizontal="center"/>
    </xf>
    <xf numFmtId="0" fontId="56" fillId="0" borderId="0" xfId="0" applyFont="1"/>
    <xf numFmtId="0" fontId="25" fillId="0" borderId="12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horizontal="center"/>
    </xf>
    <xf numFmtId="0" fontId="57" fillId="0" borderId="0" xfId="0" applyFont="1" applyBorder="1"/>
    <xf numFmtId="3" fontId="28" fillId="0" borderId="0" xfId="0" applyNumberFormat="1" applyFont="1" applyBorder="1"/>
    <xf numFmtId="0" fontId="63" fillId="0" borderId="0" xfId="0" applyFont="1" applyBorder="1"/>
    <xf numFmtId="3" fontId="25" fillId="0" borderId="0" xfId="0" applyNumberFormat="1" applyFont="1" applyBorder="1"/>
    <xf numFmtId="0" fontId="34" fillId="0" borderId="0" xfId="0" applyFont="1"/>
    <xf numFmtId="0" fontId="25" fillId="0" borderId="0" xfId="0" applyFont="1" applyBorder="1"/>
    <xf numFmtId="3" fontId="25" fillId="0" borderId="0" xfId="0" applyNumberFormat="1" applyFont="1"/>
    <xf numFmtId="0" fontId="25" fillId="0" borderId="0" xfId="0" applyFont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56" fillId="0" borderId="0" xfId="71" applyFont="1" applyAlignment="1">
      <alignment vertical="center"/>
    </xf>
    <xf numFmtId="3" fontId="75" fillId="0" borderId="31" xfId="71" applyNumberFormat="1" applyFont="1" applyFill="1" applyBorder="1" applyAlignment="1">
      <alignment horizontal="center" vertical="center" wrapText="1"/>
    </xf>
    <xf numFmtId="0" fontId="56" fillId="0" borderId="24" xfId="71" applyFont="1" applyBorder="1" applyAlignment="1">
      <alignment vertical="center"/>
    </xf>
    <xf numFmtId="3" fontId="22" fillId="0" borderId="24" xfId="71" applyNumberFormat="1" applyFont="1" applyFill="1" applyBorder="1" applyAlignment="1">
      <alignment vertical="center"/>
    </xf>
    <xf numFmtId="3" fontId="56" fillId="0" borderId="0" xfId="71" applyNumberFormat="1" applyFont="1" applyAlignment="1">
      <alignment vertical="center"/>
    </xf>
    <xf numFmtId="0" fontId="76" fillId="0" borderId="0" xfId="0" applyFont="1"/>
    <xf numFmtId="0" fontId="28" fillId="0" borderId="0" xfId="0" applyFont="1" applyAlignment="1">
      <alignment horizontal="right"/>
    </xf>
    <xf numFmtId="0" fontId="79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57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3" fontId="64" fillId="0" borderId="33" xfId="0" applyNumberFormat="1" applyFont="1" applyBorder="1" applyAlignment="1">
      <alignment horizontal="center" vertical="center"/>
    </xf>
    <xf numFmtId="3" fontId="64" fillId="0" borderId="34" xfId="0" applyNumberFormat="1" applyFont="1" applyBorder="1" applyAlignment="1">
      <alignment horizontal="center" vertical="center" wrapText="1"/>
    </xf>
    <xf numFmtId="3" fontId="64" fillId="0" borderId="35" xfId="0" applyNumberFormat="1" applyFont="1" applyBorder="1" applyAlignment="1">
      <alignment horizontal="center" vertical="center" wrapText="1"/>
    </xf>
    <xf numFmtId="0" fontId="57" fillId="0" borderId="23" xfId="0" applyFont="1" applyBorder="1" applyAlignment="1">
      <alignment horizontal="right"/>
    </xf>
    <xf numFmtId="0" fontId="57" fillId="0" borderId="0" xfId="0" applyFont="1" applyFill="1" applyBorder="1"/>
    <xf numFmtId="3" fontId="57" fillId="0" borderId="36" xfId="0" applyNumberFormat="1" applyFont="1" applyFill="1" applyBorder="1"/>
    <xf numFmtId="3" fontId="57" fillId="0" borderId="19" xfId="0" applyNumberFormat="1" applyFont="1" applyFill="1" applyBorder="1"/>
    <xf numFmtId="3" fontId="57" fillId="0" borderId="0" xfId="0" applyNumberFormat="1" applyFont="1" applyFill="1" applyBorder="1"/>
    <xf numFmtId="3" fontId="64" fillId="0" borderId="23" xfId="0" applyNumberFormat="1" applyFont="1" applyBorder="1"/>
    <xf numFmtId="3" fontId="57" fillId="0" borderId="0" xfId="0" applyNumberFormat="1" applyFont="1" applyBorder="1" applyAlignment="1">
      <alignment horizontal="center" vertical="center" wrapText="1"/>
    </xf>
    <xf numFmtId="3" fontId="57" fillId="0" borderId="19" xfId="0" applyNumberFormat="1" applyFont="1" applyBorder="1" applyAlignment="1">
      <alignment horizontal="center" vertical="center" wrapText="1"/>
    </xf>
    <xf numFmtId="3" fontId="64" fillId="0" borderId="0" xfId="0" applyNumberFormat="1" applyFont="1"/>
    <xf numFmtId="3" fontId="57" fillId="0" borderId="22" xfId="0" applyNumberFormat="1" applyFont="1" applyFill="1" applyBorder="1"/>
    <xf numFmtId="0" fontId="57" fillId="0" borderId="37" xfId="0" applyFont="1" applyBorder="1" applyAlignment="1">
      <alignment horizontal="right"/>
    </xf>
    <xf numFmtId="0" fontId="24" fillId="0" borderId="0" xfId="0" applyFont="1" applyAlignment="1">
      <alignment horizontal="center"/>
    </xf>
    <xf numFmtId="3" fontId="29" fillId="0" borderId="12" xfId="0" applyNumberFormat="1" applyFont="1" applyBorder="1" applyAlignment="1">
      <alignment horizontal="center" vertical="center" wrapText="1"/>
    </xf>
    <xf numFmtId="0" fontId="81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3" fontId="24" fillId="0" borderId="0" xfId="0" applyNumberFormat="1" applyFont="1" applyBorder="1"/>
    <xf numFmtId="0" fontId="22" fillId="0" borderId="0" xfId="0" applyFont="1" applyAlignment="1">
      <alignment wrapText="1"/>
    </xf>
    <xf numFmtId="3" fontId="22" fillId="0" borderId="0" xfId="0" applyNumberFormat="1" applyFont="1"/>
    <xf numFmtId="3" fontId="57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38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0" fontId="22" fillId="0" borderId="24" xfId="0" applyFont="1" applyBorder="1" applyAlignment="1">
      <alignment horizontal="center"/>
    </xf>
    <xf numFmtId="3" fontId="24" fillId="0" borderId="42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2" fillId="0" borderId="0" xfId="0" applyFont="1"/>
    <xf numFmtId="165" fontId="48" fillId="0" borderId="12" xfId="0" applyNumberFormat="1" applyFont="1" applyBorder="1" applyAlignment="1">
      <alignment horizontal="right"/>
    </xf>
    <xf numFmtId="0" fontId="48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8" fillId="0" borderId="0" xfId="0" applyNumberFormat="1" applyFont="1" applyBorder="1" applyAlignment="1">
      <alignment horizontal="right"/>
    </xf>
    <xf numFmtId="0" fontId="54" fillId="0" borderId="24" xfId="0" applyFont="1" applyBorder="1" applyAlignment="1">
      <alignment wrapText="1"/>
    </xf>
    <xf numFmtId="0" fontId="48" fillId="0" borderId="24" xfId="0" applyFont="1" applyBorder="1"/>
    <xf numFmtId="0" fontId="50" fillId="0" borderId="24" xfId="0" applyFont="1" applyBorder="1" applyAlignment="1">
      <alignment horizontal="right"/>
    </xf>
    <xf numFmtId="0" fontId="54" fillId="0" borderId="24" xfId="0" applyFont="1" applyBorder="1" applyAlignment="1">
      <alignment horizontal="right"/>
    </xf>
    <xf numFmtId="0" fontId="48" fillId="0" borderId="24" xfId="0" applyFont="1" applyBorder="1" applyAlignment="1">
      <alignment horizontal="right"/>
    </xf>
    <xf numFmtId="0" fontId="48" fillId="0" borderId="0" xfId="0" applyFont="1" applyBorder="1" applyAlignment="1">
      <alignment shrinkToFit="1"/>
    </xf>
    <xf numFmtId="0" fontId="54" fillId="0" borderId="24" xfId="0" applyFont="1" applyBorder="1"/>
    <xf numFmtId="0" fontId="55" fillId="0" borderId="24" xfId="0" applyFont="1" applyBorder="1" applyAlignment="1">
      <alignment horizontal="right"/>
    </xf>
    <xf numFmtId="3" fontId="58" fillId="0" borderId="0" xfId="0" applyNumberFormat="1" applyFont="1" applyBorder="1"/>
    <xf numFmtId="3" fontId="75" fillId="0" borderId="43" xfId="71" applyNumberFormat="1" applyFont="1" applyFill="1" applyBorder="1" applyAlignment="1">
      <alignment horizontal="center" vertical="center" wrapText="1"/>
    </xf>
    <xf numFmtId="3" fontId="75" fillId="0" borderId="44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4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0" fontId="70" fillId="0" borderId="0" xfId="0" applyFont="1" applyBorder="1" applyAlignment="1">
      <alignment horizontal="right"/>
    </xf>
    <xf numFmtId="0" fontId="31" fillId="0" borderId="0" xfId="0" applyFont="1" applyAlignment="1"/>
    <xf numFmtId="3" fontId="65" fillId="0" borderId="0" xfId="0" applyNumberFormat="1" applyFont="1"/>
    <xf numFmtId="3" fontId="58" fillId="0" borderId="0" xfId="0" applyNumberFormat="1" applyFont="1"/>
    <xf numFmtId="3" fontId="59" fillId="0" borderId="0" xfId="0" applyNumberFormat="1" applyFont="1"/>
    <xf numFmtId="3" fontId="73" fillId="0" borderId="0" xfId="0" applyNumberFormat="1" applyFont="1"/>
    <xf numFmtId="3" fontId="24" fillId="0" borderId="0" xfId="0" applyNumberFormat="1" applyFont="1"/>
    <xf numFmtId="3" fontId="78" fillId="0" borderId="0" xfId="0" applyNumberFormat="1" applyFont="1" applyAlignment="1"/>
    <xf numFmtId="0" fontId="22" fillId="0" borderId="45" xfId="0" applyFont="1" applyBorder="1"/>
    <xf numFmtId="0" fontId="30" fillId="0" borderId="0" xfId="0" applyFont="1" applyAlignment="1">
      <alignment horizontal="center" vertical="center" wrapText="1"/>
    </xf>
    <xf numFmtId="3" fontId="57" fillId="0" borderId="33" xfId="0" applyNumberFormat="1" applyFont="1" applyBorder="1" applyAlignment="1">
      <alignment horizontal="center" vertical="center"/>
    </xf>
    <xf numFmtId="3" fontId="59" fillId="0" borderId="32" xfId="0" applyNumberFormat="1" applyFont="1" applyBorder="1"/>
    <xf numFmtId="0" fontId="83" fillId="0" borderId="0" xfId="0" applyFont="1"/>
    <xf numFmtId="3" fontId="64" fillId="0" borderId="48" xfId="0" applyNumberFormat="1" applyFont="1" applyBorder="1" applyAlignment="1">
      <alignment horizontal="center" vertical="center" wrapText="1"/>
    </xf>
    <xf numFmtId="3" fontId="64" fillId="0" borderId="49" xfId="0" applyNumberFormat="1" applyFont="1" applyBorder="1" applyAlignment="1">
      <alignment horizontal="center" vertical="center"/>
    </xf>
    <xf numFmtId="3" fontId="64" fillId="0" borderId="50" xfId="0" applyNumberFormat="1" applyFont="1" applyBorder="1" applyAlignment="1">
      <alignment horizontal="center" vertical="center" wrapText="1"/>
    </xf>
    <xf numFmtId="3" fontId="64" fillId="0" borderId="51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horizontal="right"/>
    </xf>
    <xf numFmtId="3" fontId="64" fillId="0" borderId="52" xfId="0" applyNumberFormat="1" applyFont="1" applyBorder="1" applyAlignment="1">
      <alignment horizontal="center" vertical="center" wrapText="1"/>
    </xf>
    <xf numFmtId="3" fontId="64" fillId="0" borderId="40" xfId="0" applyNumberFormat="1" applyFont="1" applyBorder="1" applyAlignment="1">
      <alignment horizontal="center" vertical="center" wrapText="1"/>
    </xf>
    <xf numFmtId="3" fontId="57" fillId="0" borderId="53" xfId="0" applyNumberFormat="1" applyFont="1" applyBorder="1" applyAlignment="1">
      <alignment horizontal="right" vertical="center" wrapText="1"/>
    </xf>
    <xf numFmtId="3" fontId="64" fillId="0" borderId="54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/>
    </xf>
    <xf numFmtId="3" fontId="58" fillId="0" borderId="55" xfId="0" applyNumberFormat="1" applyFont="1" applyBorder="1" applyAlignment="1">
      <alignment horizontal="right"/>
    </xf>
    <xf numFmtId="3" fontId="59" fillId="0" borderId="56" xfId="0" applyNumberFormat="1" applyFont="1" applyBorder="1"/>
    <xf numFmtId="49" fontId="28" fillId="0" borderId="0" xfId="78" applyNumberFormat="1" applyFont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8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57" xfId="0" applyBorder="1" applyAlignment="1"/>
    <xf numFmtId="0" fontId="85" fillId="0" borderId="0" xfId="0" applyFont="1"/>
    <xf numFmtId="0" fontId="89" fillId="0" borderId="0" xfId="0" applyFont="1"/>
    <xf numFmtId="0" fontId="89" fillId="0" borderId="0" xfId="0" applyFont="1" applyAlignment="1">
      <alignment horizontal="right"/>
    </xf>
    <xf numFmtId="0" fontId="92" fillId="0" borderId="0" xfId="0" applyFont="1"/>
    <xf numFmtId="3" fontId="89" fillId="0" borderId="0" xfId="0" applyNumberFormat="1" applyFont="1" applyBorder="1"/>
    <xf numFmtId="0" fontId="89" fillId="0" borderId="0" xfId="0" applyFont="1" applyBorder="1"/>
    <xf numFmtId="0" fontId="90" fillId="0" borderId="0" xfId="0" applyFont="1"/>
    <xf numFmtId="3" fontId="90" fillId="0" borderId="0" xfId="0" applyNumberFormat="1" applyFont="1"/>
    <xf numFmtId="3" fontId="89" fillId="0" borderId="0" xfId="0" applyNumberFormat="1" applyFont="1"/>
    <xf numFmtId="3" fontId="64" fillId="0" borderId="58" xfId="0" applyNumberFormat="1" applyFont="1" applyFill="1" applyBorder="1"/>
    <xf numFmtId="3" fontId="64" fillId="0" borderId="59" xfId="0" applyNumberFormat="1" applyFont="1" applyBorder="1"/>
    <xf numFmtId="3" fontId="39" fillId="0" borderId="0" xfId="0" applyNumberFormat="1" applyFont="1" applyAlignment="1">
      <alignment horizontal="right"/>
    </xf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3" fillId="0" borderId="0" xfId="73" applyFont="1"/>
    <xf numFmtId="0" fontId="47" fillId="0" borderId="0" xfId="73" applyFont="1"/>
    <xf numFmtId="0" fontId="51" fillId="0" borderId="0" xfId="73" applyFont="1"/>
    <xf numFmtId="0" fontId="23" fillId="0" borderId="0" xfId="77" applyFont="1"/>
    <xf numFmtId="0" fontId="20" fillId="0" borderId="0" xfId="77" applyFont="1"/>
    <xf numFmtId="0" fontId="53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3" fillId="0" borderId="0" xfId="77" applyFont="1"/>
    <xf numFmtId="0" fontId="42" fillId="0" borderId="0" xfId="73" applyFont="1"/>
    <xf numFmtId="3" fontId="42" fillId="0" borderId="0" xfId="73" applyNumberFormat="1" applyFont="1"/>
    <xf numFmtId="0" fontId="97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2" fillId="0" borderId="0" xfId="77" applyFont="1"/>
    <xf numFmtId="3" fontId="52" fillId="0" borderId="0" xfId="77" applyNumberFormat="1" applyFont="1"/>
    <xf numFmtId="3" fontId="52" fillId="0" borderId="0" xfId="77" applyNumberFormat="1" applyFont="1" applyAlignment="1">
      <alignment horizontal="right"/>
    </xf>
    <xf numFmtId="0" fontId="52" fillId="0" borderId="0" xfId="77" applyFont="1" applyAlignment="1">
      <alignment horizontal="right"/>
    </xf>
    <xf numFmtId="9" fontId="52" fillId="0" borderId="0" xfId="77" applyNumberFormat="1" applyFont="1" applyAlignment="1">
      <alignment horizontal="right"/>
    </xf>
    <xf numFmtId="3" fontId="53" fillId="0" borderId="0" xfId="77" applyNumberFormat="1" applyFont="1"/>
    <xf numFmtId="0" fontId="53" fillId="0" borderId="0" xfId="77" applyFont="1" applyAlignment="1">
      <alignment horizontal="right"/>
    </xf>
    <xf numFmtId="3" fontId="83" fillId="0" borderId="0" xfId="0" applyNumberFormat="1" applyFont="1"/>
    <xf numFmtId="0" fontId="100" fillId="0" borderId="0" xfId="72" applyFont="1" applyAlignment="1"/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2" fillId="0" borderId="0" xfId="72" applyFont="1" applyBorder="1" applyAlignment="1"/>
    <xf numFmtId="0" fontId="52" fillId="0" borderId="0" xfId="72" applyFont="1" applyBorder="1" applyAlignment="1" applyProtection="1">
      <alignment wrapText="1"/>
      <protection locked="0"/>
    </xf>
    <xf numFmtId="3" fontId="98" fillId="0" borderId="0" xfId="72" applyNumberFormat="1" applyFont="1" applyAlignment="1"/>
    <xf numFmtId="0" fontId="98" fillId="0" borderId="0" xfId="72" applyFont="1" applyBorder="1" applyAlignment="1">
      <alignment horizontal="center"/>
    </xf>
    <xf numFmtId="0" fontId="98" fillId="0" borderId="0" xfId="72" applyFont="1" applyAlignment="1">
      <alignment horizontal="left"/>
    </xf>
    <xf numFmtId="0" fontId="98" fillId="0" borderId="0" xfId="72" applyFont="1" applyAlignment="1"/>
    <xf numFmtId="14" fontId="98" fillId="0" borderId="0" xfId="72" applyNumberFormat="1" applyFont="1" applyAlignment="1">
      <alignment horizontal="right"/>
    </xf>
    <xf numFmtId="0" fontId="98" fillId="0" borderId="0" xfId="72" applyFont="1" applyBorder="1" applyAlignment="1">
      <alignment horizontal="left"/>
    </xf>
    <xf numFmtId="0" fontId="98" fillId="0" borderId="0" xfId="72" applyFont="1" applyBorder="1" applyAlignment="1">
      <alignment horizontal="left" wrapText="1"/>
    </xf>
    <xf numFmtId="14" fontId="98" fillId="0" borderId="0" xfId="72" applyNumberFormat="1" applyFont="1" applyBorder="1" applyAlignment="1">
      <alignment horizontal="right"/>
    </xf>
    <xf numFmtId="0" fontId="98" fillId="0" borderId="0" xfId="72" applyFont="1" applyBorder="1" applyAlignment="1">
      <alignment horizontal="right"/>
    </xf>
    <xf numFmtId="14" fontId="98" fillId="0" borderId="0" xfId="72" applyNumberFormat="1" applyFont="1" applyBorder="1" applyAlignment="1" applyProtection="1">
      <alignment horizontal="left"/>
      <protection locked="0"/>
    </xf>
    <xf numFmtId="0" fontId="98" fillId="0" borderId="0" xfId="72" applyFont="1" applyBorder="1" applyAlignment="1" applyProtection="1">
      <alignment horizontal="left" wrapText="1"/>
      <protection locked="0"/>
    </xf>
    <xf numFmtId="14" fontId="98" fillId="0" borderId="0" xfId="72" applyNumberFormat="1" applyFont="1" applyBorder="1" applyAlignment="1" applyProtection="1">
      <alignment horizontal="right"/>
      <protection locked="0"/>
    </xf>
    <xf numFmtId="1" fontId="98" fillId="0" borderId="0" xfId="72" applyNumberFormat="1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protection locked="0"/>
    </xf>
    <xf numFmtId="1" fontId="52" fillId="0" borderId="0" xfId="72" applyNumberFormat="1" applyFont="1" applyBorder="1" applyAlignment="1" applyProtection="1">
      <protection locked="0"/>
    </xf>
    <xf numFmtId="0" fontId="52" fillId="0" borderId="0" xfId="72" applyFont="1" applyBorder="1" applyAlignment="1" applyProtection="1">
      <alignment horizontal="right" wrapText="1"/>
      <protection locked="0"/>
    </xf>
    <xf numFmtId="3" fontId="98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8" fillId="0" borderId="0" xfId="72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8" fillId="0" borderId="0" xfId="72" applyFont="1"/>
    <xf numFmtId="0" fontId="98" fillId="0" borderId="0" xfId="72" applyFont="1" applyAlignment="1">
      <alignment horizontal="left" wrapText="1"/>
    </xf>
    <xf numFmtId="0" fontId="98" fillId="0" borderId="0" xfId="72" applyFont="1" applyAlignment="1">
      <alignment wrapText="1"/>
    </xf>
    <xf numFmtId="0" fontId="98" fillId="0" borderId="0" xfId="72" applyFont="1" applyAlignment="1">
      <alignment horizontal="right" wrapText="1"/>
    </xf>
    <xf numFmtId="3" fontId="98" fillId="0" borderId="0" xfId="72" applyNumberFormat="1" applyFont="1" applyAlignment="1">
      <alignment wrapText="1"/>
    </xf>
    <xf numFmtId="0" fontId="98" fillId="0" borderId="0" xfId="72" applyFont="1" applyBorder="1" applyAlignment="1">
      <alignment wrapText="1"/>
    </xf>
    <xf numFmtId="0" fontId="98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8" fillId="0" borderId="0" xfId="72" applyNumberFormat="1" applyFont="1"/>
    <xf numFmtId="0" fontId="53" fillId="0" borderId="0" xfId="72" applyFont="1" applyBorder="1" applyAlignment="1"/>
    <xf numFmtId="0" fontId="53" fillId="0" borderId="0" xfId="72" applyFont="1" applyAlignment="1"/>
    <xf numFmtId="49" fontId="100" fillId="0" borderId="24" xfId="72" applyNumberFormat="1" applyFont="1" applyBorder="1" applyAlignment="1">
      <alignment horizontal="center"/>
    </xf>
    <xf numFmtId="0" fontId="100" fillId="0" borderId="24" xfId="72" applyFont="1" applyBorder="1" applyAlignment="1"/>
    <xf numFmtId="49" fontId="53" fillId="0" borderId="0" xfId="72" applyNumberFormat="1" applyFont="1" applyBorder="1" applyAlignment="1">
      <alignment horizontal="center"/>
    </xf>
    <xf numFmtId="0" fontId="100" fillId="0" borderId="0" xfId="72" applyFont="1" applyAlignment="1">
      <alignment horizontal="left"/>
    </xf>
    <xf numFmtId="0" fontId="100" fillId="0" borderId="0" xfId="72" applyFont="1" applyBorder="1" applyAlignment="1">
      <alignment horizontal="center"/>
    </xf>
    <xf numFmtId="0" fontId="100" fillId="0" borderId="0" xfId="72" applyFont="1" applyBorder="1" applyAlignment="1">
      <alignment horizontal="right"/>
    </xf>
    <xf numFmtId="0" fontId="101" fillId="0" borderId="0" xfId="72" applyFont="1" applyBorder="1" applyAlignment="1">
      <alignment horizontal="left"/>
    </xf>
    <xf numFmtId="3" fontId="100" fillId="0" borderId="24" xfId="72" applyNumberFormat="1" applyFont="1" applyBorder="1" applyAlignment="1"/>
    <xf numFmtId="3" fontId="105" fillId="0" borderId="0" xfId="0" applyNumberFormat="1" applyFont="1"/>
    <xf numFmtId="3" fontId="34" fillId="0" borderId="60" xfId="0" applyNumberFormat="1" applyFont="1" applyBorder="1"/>
    <xf numFmtId="3" fontId="57" fillId="0" borderId="60" xfId="0" applyNumberFormat="1" applyFont="1" applyBorder="1"/>
    <xf numFmtId="0" fontId="52" fillId="0" borderId="0" xfId="73" applyFont="1" applyAlignment="1">
      <alignment horizontal="right"/>
    </xf>
    <xf numFmtId="0" fontId="53" fillId="0" borderId="0" xfId="73" applyFont="1" applyAlignment="1">
      <alignment horizontal="center"/>
    </xf>
    <xf numFmtId="0" fontId="51" fillId="0" borderId="0" xfId="73" applyFont="1" applyAlignment="1">
      <alignment horizontal="center"/>
    </xf>
    <xf numFmtId="0" fontId="51" fillId="0" borderId="0" xfId="73" applyFont="1" applyAlignment="1">
      <alignment horizontal="right"/>
    </xf>
    <xf numFmtId="0" fontId="53" fillId="0" borderId="24" xfId="73" applyFont="1" applyBorder="1" applyAlignment="1">
      <alignment horizontal="center"/>
    </xf>
    <xf numFmtId="0" fontId="53" fillId="0" borderId="24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102" fillId="0" borderId="0" xfId="73" applyFont="1" applyAlignment="1">
      <alignment wrapText="1"/>
    </xf>
    <xf numFmtId="0" fontId="104" fillId="0" borderId="0" xfId="73" applyFont="1" applyAlignment="1">
      <alignment wrapText="1"/>
    </xf>
    <xf numFmtId="0" fontId="20" fillId="0" borderId="0" xfId="73" applyFont="1" applyAlignment="1">
      <alignment wrapText="1"/>
    </xf>
    <xf numFmtId="0" fontId="98" fillId="0" borderId="0" xfId="73" applyFont="1"/>
    <xf numFmtId="3" fontId="58" fillId="0" borderId="60" xfId="0" applyNumberFormat="1" applyFont="1" applyBorder="1"/>
    <xf numFmtId="0" fontId="22" fillId="0" borderId="61" xfId="0" applyFont="1" applyBorder="1"/>
    <xf numFmtId="165" fontId="48" fillId="0" borderId="10" xfId="0" applyNumberFormat="1" applyFont="1" applyBorder="1" applyAlignment="1">
      <alignment horizontal="right"/>
    </xf>
    <xf numFmtId="0" fontId="48" fillId="0" borderId="12" xfId="0" applyNumberFormat="1" applyFont="1" applyBorder="1" applyAlignment="1">
      <alignment horizontal="right"/>
    </xf>
    <xf numFmtId="3" fontId="44" fillId="0" borderId="24" xfId="0" applyNumberFormat="1" applyFont="1" applyBorder="1" applyAlignment="1">
      <alignment horizontal="center" vertical="center"/>
    </xf>
    <xf numFmtId="0" fontId="44" fillId="0" borderId="24" xfId="0" applyFont="1" applyBorder="1" applyAlignment="1">
      <alignment horizontal="center"/>
    </xf>
    <xf numFmtId="3" fontId="53" fillId="0" borderId="24" xfId="0" applyNumberFormat="1" applyFont="1" applyBorder="1"/>
    <xf numFmtId="0" fontId="53" fillId="0" borderId="24" xfId="0" applyFont="1" applyBorder="1"/>
    <xf numFmtId="3" fontId="58" fillId="0" borderId="19" xfId="0" applyNumberFormat="1" applyFont="1" applyBorder="1"/>
    <xf numFmtId="3" fontId="58" fillId="0" borderId="19" xfId="0" applyNumberFormat="1" applyFont="1" applyFill="1" applyBorder="1"/>
    <xf numFmtId="3" fontId="58" fillId="0" borderId="22" xfId="0" applyNumberFormat="1" applyFont="1" applyBorder="1"/>
    <xf numFmtId="3" fontId="58" fillId="0" borderId="0" xfId="0" applyNumberFormat="1" applyFont="1" applyFill="1" applyBorder="1"/>
    <xf numFmtId="3" fontId="59" fillId="0" borderId="64" xfId="0" applyNumberFormat="1" applyFont="1" applyBorder="1"/>
    <xf numFmtId="3" fontId="64" fillId="0" borderId="65" xfId="0" applyNumberFormat="1" applyFont="1" applyBorder="1" applyAlignment="1">
      <alignment horizontal="right" vertical="center" wrapText="1"/>
    </xf>
    <xf numFmtId="3" fontId="64" fillId="0" borderId="66" xfId="0" applyNumberFormat="1" applyFont="1" applyBorder="1" applyAlignment="1">
      <alignment horizontal="center" vertical="center" wrapText="1"/>
    </xf>
    <xf numFmtId="0" fontId="48" fillId="0" borderId="28" xfId="0" applyNumberFormat="1" applyFont="1" applyBorder="1" applyAlignment="1">
      <alignment horizontal="right"/>
    </xf>
    <xf numFmtId="49" fontId="48" fillId="0" borderId="0" xfId="0" applyNumberFormat="1" applyFont="1" applyBorder="1" applyAlignment="1">
      <alignment horizontal="right"/>
    </xf>
    <xf numFmtId="0" fontId="42" fillId="0" borderId="0" xfId="0" applyFont="1" applyBorder="1"/>
    <xf numFmtId="167" fontId="48" fillId="24" borderId="12" xfId="0" applyNumberFormat="1" applyFont="1" applyFill="1" applyBorder="1" applyAlignment="1">
      <alignment horizontal="right" vertical="center"/>
    </xf>
    <xf numFmtId="0" fontId="57" fillId="0" borderId="0" xfId="0" applyFont="1" applyBorder="1" applyAlignment="1">
      <alignment horizontal="left"/>
    </xf>
    <xf numFmtId="3" fontId="57" fillId="0" borderId="22" xfId="0" applyNumberFormat="1" applyFont="1" applyBorder="1" applyAlignment="1">
      <alignment horizontal="right" wrapText="1"/>
    </xf>
    <xf numFmtId="3" fontId="57" fillId="0" borderId="0" xfId="0" applyNumberFormat="1" applyFont="1" applyBorder="1" applyAlignment="1"/>
    <xf numFmtId="0" fontId="64" fillId="0" borderId="46" xfId="0" applyFont="1" applyFill="1" applyBorder="1" applyAlignment="1"/>
    <xf numFmtId="3" fontId="57" fillId="0" borderId="67" xfId="0" applyNumberFormat="1" applyFont="1" applyFill="1" applyBorder="1"/>
    <xf numFmtId="3" fontId="57" fillId="0" borderId="60" xfId="0" applyNumberFormat="1" applyFont="1" applyBorder="1" applyAlignment="1">
      <alignment horizontal="center" vertical="center" wrapText="1"/>
    </xf>
    <xf numFmtId="3" fontId="64" fillId="0" borderId="60" xfId="0" applyNumberFormat="1" applyFont="1" applyBorder="1"/>
    <xf numFmtId="3" fontId="59" fillId="0" borderId="60" xfId="0" applyNumberFormat="1" applyFont="1" applyBorder="1"/>
    <xf numFmtId="3" fontId="64" fillId="0" borderId="68" xfId="0" applyNumberFormat="1" applyFont="1" applyFill="1" applyBorder="1"/>
    <xf numFmtId="3" fontId="64" fillId="0" borderId="55" xfId="0" applyNumberFormat="1" applyFont="1" applyBorder="1" applyAlignment="1">
      <alignment horizontal="right" vertical="center" wrapText="1"/>
    </xf>
    <xf numFmtId="0" fontId="64" fillId="0" borderId="69" xfId="0" applyFont="1" applyFill="1" applyBorder="1" applyAlignment="1"/>
    <xf numFmtId="3" fontId="64" fillId="0" borderId="47" xfId="0" applyNumberFormat="1" applyFont="1" applyFill="1" applyBorder="1"/>
    <xf numFmtId="3" fontId="64" fillId="0" borderId="58" xfId="0" applyNumberFormat="1" applyFont="1" applyBorder="1"/>
    <xf numFmtId="3" fontId="64" fillId="0" borderId="70" xfId="0" applyNumberFormat="1" applyFont="1" applyBorder="1"/>
    <xf numFmtId="3" fontId="64" fillId="0" borderId="71" xfId="0" applyNumberFormat="1" applyFont="1" applyBorder="1"/>
    <xf numFmtId="3" fontId="64" fillId="0" borderId="60" xfId="0" applyNumberFormat="1" applyFont="1" applyBorder="1" applyAlignment="1">
      <alignment horizontal="right"/>
    </xf>
    <xf numFmtId="0" fontId="57" fillId="0" borderId="0" xfId="0" applyFont="1" applyBorder="1" applyAlignment="1">
      <alignment horizontal="right"/>
    </xf>
    <xf numFmtId="3" fontId="64" fillId="0" borderId="72" xfId="0" applyNumberFormat="1" applyFont="1" applyBorder="1" applyAlignment="1">
      <alignment horizontal="center"/>
    </xf>
    <xf numFmtId="165" fontId="48" fillId="0" borderId="28" xfId="0" applyNumberFormat="1" applyFont="1" applyBorder="1" applyAlignment="1">
      <alignment horizontal="right"/>
    </xf>
    <xf numFmtId="0" fontId="39" fillId="0" borderId="22" xfId="0" applyFont="1" applyBorder="1"/>
    <xf numFmtId="3" fontId="59" fillId="0" borderId="58" xfId="0" applyNumberFormat="1" applyFont="1" applyFill="1" applyBorder="1"/>
    <xf numFmtId="3" fontId="59" fillId="0" borderId="70" xfId="0" applyNumberFormat="1" applyFont="1" applyFill="1" applyBorder="1"/>
    <xf numFmtId="3" fontId="56" fillId="0" borderId="0" xfId="71" applyNumberFormat="1" applyFont="1" applyAlignment="1">
      <alignment horizontal="right" vertical="center"/>
    </xf>
    <xf numFmtId="0" fontId="32" fillId="0" borderId="24" xfId="71" applyFont="1" applyBorder="1" applyAlignment="1">
      <alignment vertical="center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3" fontId="35" fillId="0" borderId="24" xfId="71" applyNumberFormat="1" applyFont="1" applyFill="1" applyBorder="1" applyAlignment="1">
      <alignment vertical="center" wrapText="1"/>
    </xf>
    <xf numFmtId="0" fontId="31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11" fillId="0" borderId="0" xfId="0" applyFont="1"/>
    <xf numFmtId="0" fontId="1" fillId="0" borderId="0" xfId="70" applyAlignment="1">
      <alignment vertical="center"/>
    </xf>
    <xf numFmtId="0" fontId="29" fillId="0" borderId="45" xfId="71" applyFont="1" applyBorder="1" applyAlignment="1">
      <alignment vertical="center"/>
    </xf>
    <xf numFmtId="3" fontId="22" fillId="0" borderId="45" xfId="71" applyNumberFormat="1" applyFont="1" applyFill="1" applyBorder="1" applyAlignment="1">
      <alignment vertical="center"/>
    </xf>
    <xf numFmtId="0" fontId="32" fillId="0" borderId="45" xfId="71" applyFont="1" applyBorder="1" applyAlignment="1">
      <alignment vertical="center"/>
    </xf>
    <xf numFmtId="3" fontId="25" fillId="0" borderId="0" xfId="0" applyNumberFormat="1" applyFont="1" applyFill="1"/>
    <xf numFmtId="3" fontId="57" fillId="0" borderId="0" xfId="0" applyNumberFormat="1" applyFont="1" applyBorder="1" applyAlignment="1">
      <alignment horizontal="right"/>
    </xf>
    <xf numFmtId="0" fontId="57" fillId="0" borderId="65" xfId="0" applyFont="1" applyBorder="1"/>
    <xf numFmtId="0" fontId="57" fillId="0" borderId="60" xfId="0" applyFont="1" applyBorder="1"/>
    <xf numFmtId="0" fontId="57" fillId="0" borderId="62" xfId="0" applyFont="1" applyBorder="1"/>
    <xf numFmtId="3" fontId="64" fillId="0" borderId="62" xfId="0" applyNumberFormat="1" applyFont="1" applyBorder="1" applyAlignment="1">
      <alignment horizontal="right"/>
    </xf>
    <xf numFmtId="3" fontId="111" fillId="0" borderId="0" xfId="0" applyNumberFormat="1" applyFont="1"/>
    <xf numFmtId="3" fontId="112" fillId="0" borderId="0" xfId="0" applyNumberFormat="1" applyFont="1"/>
    <xf numFmtId="0" fontId="111" fillId="0" borderId="0" xfId="0" applyFont="1" applyBorder="1"/>
    <xf numFmtId="0" fontId="112" fillId="0" borderId="0" xfId="0" applyFont="1"/>
    <xf numFmtId="0" fontId="28" fillId="0" borderId="0" xfId="0" applyFont="1" applyFill="1"/>
    <xf numFmtId="0" fontId="89" fillId="0" borderId="0" xfId="0" applyFont="1" applyFill="1"/>
    <xf numFmtId="0" fontId="85" fillId="0" borderId="0" xfId="0" applyFont="1" applyFill="1"/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22" fillId="0" borderId="45" xfId="0" applyNumberFormat="1" applyFont="1" applyFill="1" applyBorder="1"/>
    <xf numFmtId="3" fontId="58" fillId="0" borderId="19" xfId="0" applyNumberFormat="1" applyFont="1" applyBorder="1" applyAlignment="1">
      <alignment horizontal="right" wrapText="1"/>
    </xf>
    <xf numFmtId="0" fontId="43" fillId="0" borderId="0" xfId="0" applyFont="1" applyBorder="1"/>
    <xf numFmtId="0" fontId="54" fillId="0" borderId="10" xfId="0" applyFont="1" applyBorder="1" applyAlignment="1">
      <alignment horizontal="right"/>
    </xf>
    <xf numFmtId="167" fontId="20" fillId="0" borderId="0" xfId="0" applyNumberFormat="1" applyFont="1"/>
    <xf numFmtId="0" fontId="32" fillId="0" borderId="22" xfId="71" applyFont="1" applyBorder="1" applyAlignment="1">
      <alignment vertical="center"/>
    </xf>
    <xf numFmtId="0" fontId="1" fillId="0" borderId="22" xfId="70" applyBorder="1" applyAlignment="1">
      <alignment vertical="center"/>
    </xf>
    <xf numFmtId="0" fontId="32" fillId="0" borderId="22" xfId="71" applyFont="1" applyBorder="1" applyAlignment="1">
      <alignment vertical="center" wrapText="1"/>
    </xf>
    <xf numFmtId="0" fontId="106" fillId="0" borderId="22" xfId="71" applyFont="1" applyBorder="1" applyAlignment="1">
      <alignment horizontal="center" vertical="center" wrapText="1"/>
    </xf>
    <xf numFmtId="0" fontId="33" fillId="0" borderId="22" xfId="70" applyFont="1" applyBorder="1" applyAlignment="1">
      <alignment vertical="center" wrapText="1"/>
    </xf>
    <xf numFmtId="0" fontId="1" fillId="0" borderId="22" xfId="70" applyBorder="1" applyAlignment="1">
      <alignment vertical="center" wrapText="1"/>
    </xf>
    <xf numFmtId="0" fontId="107" fillId="0" borderId="22" xfId="71" applyFont="1" applyBorder="1" applyAlignment="1">
      <alignment vertical="center" wrapText="1"/>
    </xf>
    <xf numFmtId="0" fontId="37" fillId="0" borderId="22" xfId="78" applyFont="1" applyBorder="1"/>
    <xf numFmtId="0" fontId="23" fillId="0" borderId="22" xfId="0" applyFont="1" applyBorder="1"/>
    <xf numFmtId="0" fontId="35" fillId="0" borderId="0" xfId="78" applyFont="1" applyBorder="1"/>
    <xf numFmtId="3" fontId="37" fillId="0" borderId="0" xfId="78" applyNumberFormat="1" applyFont="1" applyBorder="1"/>
    <xf numFmtId="3" fontId="43" fillId="0" borderId="41" xfId="0" applyNumberFormat="1" applyFont="1" applyBorder="1"/>
    <xf numFmtId="3" fontId="42" fillId="0" borderId="76" xfId="0" applyNumberFormat="1" applyFont="1" applyBorder="1"/>
    <xf numFmtId="0" fontId="42" fillId="0" borderId="77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48" fillId="0" borderId="0" xfId="0" applyNumberFormat="1" applyFont="1" applyBorder="1" applyAlignment="1">
      <alignment horizontal="right"/>
    </xf>
    <xf numFmtId="0" fontId="54" fillId="0" borderId="15" xfId="0" applyFont="1" applyBorder="1" applyAlignment="1">
      <alignment wrapText="1"/>
    </xf>
    <xf numFmtId="0" fontId="48" fillId="0" borderId="20" xfId="0" applyFont="1" applyBorder="1" applyAlignment="1">
      <alignment wrapText="1"/>
    </xf>
    <xf numFmtId="0" fontId="48" fillId="0" borderId="20" xfId="0" applyFont="1" applyBorder="1"/>
    <xf numFmtId="0" fontId="54" fillId="0" borderId="20" xfId="0" applyFont="1" applyBorder="1" applyAlignment="1">
      <alignment horizontal="right"/>
    </xf>
    <xf numFmtId="4" fontId="48" fillId="0" borderId="20" xfId="0" applyNumberFormat="1" applyFont="1" applyBorder="1" applyAlignment="1">
      <alignment horizontal="right"/>
    </xf>
    <xf numFmtId="1" fontId="48" fillId="0" borderId="24" xfId="0" applyNumberFormat="1" applyFont="1" applyBorder="1" applyAlignment="1">
      <alignment horizontal="right"/>
    </xf>
    <xf numFmtId="0" fontId="55" fillId="0" borderId="15" xfId="0" applyFont="1" applyBorder="1" applyAlignment="1">
      <alignment wrapText="1"/>
    </xf>
    <xf numFmtId="3" fontId="120" fillId="0" borderId="24" xfId="71" applyNumberFormat="1" applyFont="1" applyBorder="1" applyAlignment="1">
      <alignment vertical="center"/>
    </xf>
    <xf numFmtId="0" fontId="54" fillId="0" borderId="0" xfId="72" applyFont="1" applyAlignment="1">
      <alignment horizontal="center"/>
    </xf>
    <xf numFmtId="0" fontId="48" fillId="0" borderId="24" xfId="72" applyFont="1" applyBorder="1" applyAlignment="1">
      <alignment horizontal="center"/>
    </xf>
    <xf numFmtId="0" fontId="48" fillId="0" borderId="24" xfId="72" applyFont="1" applyFill="1" applyBorder="1" applyAlignment="1">
      <alignment horizontal="center"/>
    </xf>
    <xf numFmtId="49" fontId="100" fillId="0" borderId="24" xfId="72" applyNumberFormat="1" applyFont="1" applyFill="1" applyBorder="1" applyAlignment="1">
      <alignment horizontal="center"/>
    </xf>
    <xf numFmtId="0" fontId="54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4" fillId="0" borderId="0" xfId="72" applyFont="1" applyFill="1" applyBorder="1" applyAlignment="1">
      <alignment horizontal="center"/>
    </xf>
    <xf numFmtId="0" fontId="54" fillId="0" borderId="0" xfId="72" applyFont="1" applyFill="1" applyAlignment="1">
      <alignment horizontal="left"/>
    </xf>
    <xf numFmtId="0" fontId="54" fillId="0" borderId="0" xfId="72" applyFont="1" applyFill="1" applyAlignment="1"/>
    <xf numFmtId="3" fontId="54" fillId="0" borderId="0" xfId="72" applyNumberFormat="1" applyFont="1" applyFill="1" applyAlignment="1"/>
    <xf numFmtId="0" fontId="54" fillId="0" borderId="0" xfId="72" applyFont="1" applyFill="1" applyBorder="1" applyAlignment="1">
      <alignment horizontal="left"/>
    </xf>
    <xf numFmtId="0" fontId="54" fillId="0" borderId="0" xfId="72" applyFont="1" applyFill="1" applyBorder="1" applyAlignment="1">
      <alignment horizontal="left" wrapText="1"/>
    </xf>
    <xf numFmtId="3" fontId="54" fillId="0" borderId="0" xfId="72" applyNumberFormat="1" applyFont="1" applyFill="1" applyBorder="1" applyAlignment="1">
      <alignment horizontal="right"/>
    </xf>
    <xf numFmtId="14" fontId="54" fillId="0" borderId="0" xfId="72" applyNumberFormat="1" applyFont="1" applyFill="1" applyBorder="1" applyAlignment="1" applyProtection="1">
      <alignment horizontal="left"/>
      <protection locked="0"/>
    </xf>
    <xf numFmtId="0" fontId="54" fillId="0" borderId="0" xfId="72" applyFont="1" applyFill="1" applyBorder="1" applyAlignment="1" applyProtection="1">
      <alignment horizontal="left" wrapText="1"/>
      <protection locked="0"/>
    </xf>
    <xf numFmtId="3" fontId="54" fillId="0" borderId="0" xfId="72" applyNumberFormat="1" applyFont="1" applyFill="1" applyBorder="1" applyAlignment="1" applyProtection="1">
      <alignment wrapText="1"/>
      <protection locked="0"/>
    </xf>
    <xf numFmtId="14" fontId="54" fillId="0" borderId="0" xfId="72" applyNumberFormat="1" applyFont="1" applyFill="1" applyBorder="1" applyAlignment="1" applyProtection="1">
      <alignment horizontal="left" vertical="center"/>
      <protection locked="0"/>
    </xf>
    <xf numFmtId="3" fontId="123" fillId="0" borderId="0" xfId="0" applyNumberFormat="1" applyFont="1" applyFill="1"/>
    <xf numFmtId="14" fontId="98" fillId="0" borderId="0" xfId="72" applyNumberFormat="1" applyFont="1" applyFill="1" applyBorder="1" applyAlignment="1" applyProtection="1">
      <alignment horizontal="left"/>
      <protection locked="0"/>
    </xf>
    <xf numFmtId="3" fontId="124" fillId="0" borderId="0" xfId="72" applyNumberFormat="1" applyFont="1" applyFill="1" applyBorder="1" applyAlignment="1" applyProtection="1">
      <alignment wrapText="1"/>
      <protection locked="0"/>
    </xf>
    <xf numFmtId="3" fontId="98" fillId="0" borderId="0" xfId="0" applyNumberFormat="1" applyFont="1" applyFill="1"/>
    <xf numFmtId="3" fontId="98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5" fillId="0" borderId="0" xfId="0" applyFont="1" applyFill="1"/>
    <xf numFmtId="0" fontId="126" fillId="0" borderId="24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4" fillId="0" borderId="0" xfId="72" applyNumberFormat="1" applyFont="1" applyFill="1" applyAlignment="1">
      <alignment horizontal="right"/>
    </xf>
    <xf numFmtId="14" fontId="54" fillId="0" borderId="0" xfId="72" applyNumberFormat="1" applyFont="1" applyFill="1" applyBorder="1" applyAlignment="1">
      <alignment horizontal="right"/>
    </xf>
    <xf numFmtId="0" fontId="54" fillId="0" borderId="0" xfId="72" applyFont="1" applyFill="1" applyAlignment="1">
      <alignment horizontal="right"/>
    </xf>
    <xf numFmtId="14" fontId="54" fillId="0" borderId="0" xfId="72" applyNumberFormat="1" applyFont="1" applyFill="1" applyBorder="1" applyAlignment="1" applyProtection="1">
      <alignment horizontal="right"/>
      <protection locked="0"/>
    </xf>
    <xf numFmtId="0" fontId="54" fillId="0" borderId="0" xfId="72" applyFont="1" applyFill="1" applyBorder="1" applyAlignment="1">
      <alignment horizontal="center" vertical="center"/>
    </xf>
    <xf numFmtId="0" fontId="54" fillId="0" borderId="0" xfId="72" applyFont="1" applyFill="1" applyBorder="1" applyAlignment="1" applyProtection="1">
      <alignment horizontal="left" vertical="center" wrapText="1"/>
      <protection locked="0"/>
    </xf>
    <xf numFmtId="14" fontId="54" fillId="0" borderId="0" xfId="72" applyNumberFormat="1" applyFont="1" applyFill="1" applyBorder="1" applyAlignment="1" applyProtection="1">
      <alignment horizontal="right" vertical="center"/>
      <protection locked="0"/>
    </xf>
    <xf numFmtId="3" fontId="54" fillId="0" borderId="0" xfId="72" applyNumberFormat="1" applyFont="1" applyFill="1" applyBorder="1" applyAlignment="1" applyProtection="1">
      <alignment vertical="center" wrapText="1"/>
      <protection locked="0"/>
    </xf>
    <xf numFmtId="14" fontId="98" fillId="0" borderId="0" xfId="72" applyNumberFormat="1" applyFont="1" applyFill="1" applyBorder="1" applyAlignment="1" applyProtection="1">
      <alignment horizontal="right"/>
      <protection locked="0"/>
    </xf>
    <xf numFmtId="0" fontId="123" fillId="0" borderId="0" xfId="0" applyFont="1" applyFill="1" applyAlignment="1">
      <alignment horizontal="center"/>
    </xf>
    <xf numFmtId="3" fontId="126" fillId="0" borderId="0" xfId="0" applyNumberFormat="1" applyFont="1"/>
    <xf numFmtId="0" fontId="0" fillId="0" borderId="0" xfId="0" applyAlignment="1"/>
    <xf numFmtId="0" fontId="31" fillId="0" borderId="24" xfId="71" applyFont="1" applyBorder="1" applyAlignment="1">
      <alignment vertical="center" wrapText="1"/>
    </xf>
    <xf numFmtId="2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 shrinkToFit="1"/>
    </xf>
    <xf numFmtId="3" fontId="121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7" fillId="0" borderId="24" xfId="71" applyNumberFormat="1" applyFont="1" applyFill="1" applyBorder="1" applyAlignment="1">
      <alignment vertical="center"/>
    </xf>
    <xf numFmtId="0" fontId="120" fillId="0" borderId="24" xfId="71" applyFont="1" applyBorder="1" applyAlignment="1">
      <alignment vertical="center"/>
    </xf>
    <xf numFmtId="4" fontId="120" fillId="0" borderId="24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10" fillId="0" borderId="24" xfId="71" applyFont="1" applyBorder="1" applyAlignment="1">
      <alignment vertical="center"/>
    </xf>
    <xf numFmtId="167" fontId="31" fillId="0" borderId="24" xfId="71" applyNumberFormat="1" applyFont="1" applyBorder="1" applyAlignment="1">
      <alignment vertical="center"/>
    </xf>
    <xf numFmtId="4" fontId="121" fillId="0" borderId="24" xfId="71" applyNumberFormat="1" applyFont="1" applyFill="1" applyBorder="1" applyAlignment="1">
      <alignment vertical="center"/>
    </xf>
    <xf numFmtId="3" fontId="128" fillId="0" borderId="24" xfId="71" applyNumberFormat="1" applyFont="1" applyFill="1" applyBorder="1" applyAlignment="1">
      <alignment vertical="center" wrapText="1"/>
    </xf>
    <xf numFmtId="0" fontId="120" fillId="0" borderId="24" xfId="71" applyFont="1" applyBorder="1" applyAlignment="1">
      <alignment vertical="center" wrapText="1"/>
    </xf>
    <xf numFmtId="3" fontId="35" fillId="0" borderId="24" xfId="71" applyNumberFormat="1" applyFont="1" applyFill="1" applyBorder="1" applyAlignment="1">
      <alignment vertical="center" shrinkToFit="1"/>
    </xf>
    <xf numFmtId="164" fontId="121" fillId="0" borderId="24" xfId="71" applyNumberFormat="1" applyFont="1" applyFill="1" applyBorder="1" applyAlignment="1">
      <alignment vertical="center"/>
    </xf>
    <xf numFmtId="165" fontId="121" fillId="0" borderId="24" xfId="71" applyNumberFormat="1" applyFont="1" applyFill="1" applyBorder="1" applyAlignment="1">
      <alignment vertical="center"/>
    </xf>
    <xf numFmtId="168" fontId="121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/>
    </xf>
    <xf numFmtId="3" fontId="121" fillId="0" borderId="24" xfId="71" applyNumberFormat="1" applyFont="1" applyBorder="1" applyAlignment="1">
      <alignment horizontal="right" vertical="center"/>
    </xf>
    <xf numFmtId="165" fontId="121" fillId="0" borderId="24" xfId="71" applyNumberFormat="1" applyFont="1" applyBorder="1" applyAlignment="1">
      <alignment vertical="center"/>
    </xf>
    <xf numFmtId="0" fontId="129" fillId="0" borderId="24" xfId="75" applyFont="1" applyBorder="1" applyAlignment="1">
      <alignment vertical="center"/>
    </xf>
    <xf numFmtId="3" fontId="121" fillId="0" borderId="24" xfId="75" applyNumberFormat="1" applyFont="1" applyBorder="1" applyAlignment="1">
      <alignment vertical="center"/>
    </xf>
    <xf numFmtId="0" fontId="110" fillId="0" borderId="24" xfId="71" applyFont="1" applyBorder="1" applyAlignment="1">
      <alignment vertical="center" wrapText="1"/>
    </xf>
    <xf numFmtId="9" fontId="121" fillId="0" borderId="24" xfId="71" applyNumberFormat="1" applyFont="1" applyFill="1" applyBorder="1" applyAlignment="1">
      <alignment vertical="center"/>
    </xf>
    <xf numFmtId="0" fontId="120" fillId="0" borderId="25" xfId="71" applyFont="1" applyBorder="1" applyAlignment="1">
      <alignment vertical="center" wrapText="1"/>
    </xf>
    <xf numFmtId="3" fontId="121" fillId="0" borderId="25" xfId="71" applyNumberFormat="1" applyFont="1" applyBorder="1" applyAlignment="1">
      <alignment vertical="center"/>
    </xf>
    <xf numFmtId="3" fontId="121" fillId="0" borderId="25" xfId="71" applyNumberFormat="1" applyFont="1" applyFill="1" applyBorder="1" applyAlignment="1">
      <alignment vertical="center"/>
    </xf>
    <xf numFmtId="165" fontId="121" fillId="0" borderId="25" xfId="71" applyNumberFormat="1" applyFont="1" applyFill="1" applyBorder="1" applyAlignment="1">
      <alignment vertical="center"/>
    </xf>
    <xf numFmtId="3" fontId="120" fillId="0" borderId="25" xfId="71" applyNumberFormat="1" applyFont="1" applyBorder="1" applyAlignment="1">
      <alignment vertical="center"/>
    </xf>
    <xf numFmtId="4" fontId="120" fillId="0" borderId="25" xfId="71" applyNumberFormat="1" applyFont="1" applyBorder="1" applyAlignment="1">
      <alignment vertical="center"/>
    </xf>
    <xf numFmtId="0" fontId="110" fillId="0" borderId="81" xfId="71" applyFont="1" applyFill="1" applyBorder="1" applyAlignment="1">
      <alignment vertical="center"/>
    </xf>
    <xf numFmtId="3" fontId="130" fillId="0" borderId="58" xfId="71" applyNumberFormat="1" applyFont="1" applyFill="1" applyBorder="1" applyAlignment="1">
      <alignment vertical="center"/>
    </xf>
    <xf numFmtId="3" fontId="130" fillId="0" borderId="70" xfId="71" applyNumberFormat="1" applyFont="1" applyFill="1" applyBorder="1" applyAlignment="1">
      <alignment vertical="center"/>
    </xf>
    <xf numFmtId="3" fontId="130" fillId="0" borderId="32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0" fontId="48" fillId="0" borderId="82" xfId="0" applyFont="1" applyBorder="1"/>
    <xf numFmtId="0" fontId="50" fillId="0" borderId="82" xfId="0" applyFont="1" applyBorder="1" applyAlignment="1">
      <alignment horizontal="right"/>
    </xf>
    <xf numFmtId="0" fontId="54" fillId="0" borderId="82" xfId="0" applyFont="1" applyBorder="1" applyAlignment="1">
      <alignment horizontal="right"/>
    </xf>
    <xf numFmtId="0" fontId="48" fillId="0" borderId="82" xfId="0" applyFont="1" applyBorder="1" applyAlignment="1">
      <alignment horizontal="right"/>
    </xf>
    <xf numFmtId="4" fontId="48" fillId="0" borderId="82" xfId="0" applyNumberFormat="1" applyFont="1" applyBorder="1" applyAlignment="1">
      <alignment horizontal="right"/>
    </xf>
    <xf numFmtId="0" fontId="48" fillId="0" borderId="42" xfId="0" applyFont="1" applyBorder="1" applyAlignment="1">
      <alignment shrinkToFit="1"/>
    </xf>
    <xf numFmtId="0" fontId="54" fillId="0" borderId="79" xfId="0" applyFont="1" applyBorder="1"/>
    <xf numFmtId="0" fontId="55" fillId="0" borderId="79" xfId="0" applyFont="1" applyBorder="1" applyAlignment="1">
      <alignment horizontal="right"/>
    </xf>
    <xf numFmtId="0" fontId="54" fillId="0" borderId="79" xfId="0" applyFont="1" applyBorder="1" applyAlignment="1">
      <alignment horizontal="right"/>
    </xf>
    <xf numFmtId="0" fontId="48" fillId="0" borderId="79" xfId="0" applyFont="1" applyBorder="1" applyAlignment="1">
      <alignment horizontal="right"/>
    </xf>
    <xf numFmtId="0" fontId="48" fillId="0" borderId="80" xfId="0" applyFont="1" applyFill="1" applyBorder="1" applyAlignment="1">
      <alignment horizontal="right"/>
    </xf>
    <xf numFmtId="14" fontId="98" fillId="0" borderId="0" xfId="72" applyNumberFormat="1" applyFont="1" applyFill="1" applyBorder="1" applyAlignment="1" applyProtection="1">
      <alignment horizontal="left" wrapText="1"/>
      <protection locked="0"/>
    </xf>
    <xf numFmtId="0" fontId="110" fillId="0" borderId="25" xfId="71" applyFont="1" applyBorder="1" applyAlignment="1">
      <alignment vertical="center" wrapText="1"/>
    </xf>
    <xf numFmtId="0" fontId="31" fillId="0" borderId="25" xfId="71" applyFont="1" applyBorder="1" applyAlignment="1">
      <alignment vertical="center" wrapText="1"/>
    </xf>
    <xf numFmtId="3" fontId="31" fillId="25" borderId="24" xfId="71" applyNumberFormat="1" applyFont="1" applyFill="1" applyBorder="1" applyAlignment="1">
      <alignment vertical="center"/>
    </xf>
    <xf numFmtId="4" fontId="23" fillId="25" borderId="24" xfId="71" applyNumberFormat="1" applyFont="1" applyFill="1" applyBorder="1" applyAlignment="1">
      <alignment vertical="center"/>
    </xf>
    <xf numFmtId="3" fontId="34" fillId="0" borderId="0" xfId="0" applyNumberFormat="1" applyFont="1" applyBorder="1" applyAlignment="1"/>
    <xf numFmtId="167" fontId="48" fillId="0" borderId="24" xfId="0" applyNumberFormat="1" applyFont="1" applyBorder="1" applyAlignment="1">
      <alignment horizontal="right"/>
    </xf>
    <xf numFmtId="167" fontId="48" fillId="0" borderId="12" xfId="0" applyNumberFormat="1" applyFont="1" applyBorder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3" fillId="0" borderId="0" xfId="73" applyNumberFormat="1" applyFont="1"/>
    <xf numFmtId="0" fontId="133" fillId="0" borderId="24" xfId="71" applyFont="1" applyBorder="1" applyAlignment="1">
      <alignment vertical="center"/>
    </xf>
    <xf numFmtId="2" fontId="121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 wrapText="1"/>
    </xf>
    <xf numFmtId="0" fontId="134" fillId="0" borderId="24" xfId="71" applyFont="1" applyBorder="1" applyAlignment="1">
      <alignment vertical="center"/>
    </xf>
    <xf numFmtId="3" fontId="121" fillId="0" borderId="24" xfId="71" applyNumberFormat="1" applyFont="1" applyFill="1" applyBorder="1" applyAlignment="1">
      <alignment vertical="center" shrinkToFit="1"/>
    </xf>
    <xf numFmtId="165" fontId="31" fillId="0" borderId="24" xfId="71" applyNumberFormat="1" applyFont="1" applyBorder="1" applyAlignment="1">
      <alignment vertical="center"/>
    </xf>
    <xf numFmtId="3" fontId="128" fillId="0" borderId="24" xfId="71" applyNumberFormat="1" applyFont="1" applyFill="1" applyBorder="1" applyAlignment="1">
      <alignment vertical="center" shrinkToFit="1"/>
    </xf>
    <xf numFmtId="3" fontId="23" fillId="0" borderId="24" xfId="71" applyNumberFormat="1" applyFont="1" applyBorder="1" applyAlignment="1">
      <alignment horizontal="right"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 wrapText="1"/>
    </xf>
    <xf numFmtId="0" fontId="115" fillId="0" borderId="0" xfId="71" applyFont="1" applyAlignment="1">
      <alignment vertical="center"/>
    </xf>
    <xf numFmtId="3" fontId="23" fillId="0" borderId="25" xfId="71" applyNumberFormat="1" applyFont="1" applyBorder="1" applyAlignment="1">
      <alignment vertical="center"/>
    </xf>
    <xf numFmtId="9" fontId="23" fillId="0" borderId="25" xfId="71" applyNumberFormat="1" applyFont="1" applyFill="1" applyBorder="1" applyAlignment="1">
      <alignment vertical="center"/>
    </xf>
    <xf numFmtId="3" fontId="23" fillId="0" borderId="25" xfId="71" applyNumberFormat="1" applyFont="1" applyFill="1" applyBorder="1" applyAlignment="1">
      <alignment vertical="center"/>
    </xf>
    <xf numFmtId="3" fontId="121" fillId="0" borderId="25" xfId="71" applyNumberFormat="1" applyFont="1" applyBorder="1" applyAlignment="1">
      <alignment vertical="center" wrapText="1"/>
    </xf>
    <xf numFmtId="4" fontId="31" fillId="0" borderId="25" xfId="71" applyNumberFormat="1" applyFont="1" applyBorder="1" applyAlignment="1">
      <alignment vertical="center"/>
    </xf>
    <xf numFmtId="3" fontId="31" fillId="0" borderId="25" xfId="71" applyNumberFormat="1" applyFont="1" applyBorder="1" applyAlignment="1">
      <alignment vertical="center"/>
    </xf>
    <xf numFmtId="0" fontId="107" fillId="0" borderId="0" xfId="71" applyFont="1" applyBorder="1" applyAlignment="1">
      <alignment vertical="center"/>
    </xf>
    <xf numFmtId="0" fontId="135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6" fillId="0" borderId="0" xfId="71" applyFont="1" applyAlignment="1">
      <alignment vertical="center"/>
    </xf>
    <xf numFmtId="3" fontId="44" fillId="0" borderId="32" xfId="0" applyNumberFormat="1" applyFont="1" applyBorder="1"/>
    <xf numFmtId="0" fontId="20" fillId="0" borderId="12" xfId="0" applyFont="1" applyBorder="1" applyAlignment="1">
      <alignment horizontal="center"/>
    </xf>
    <xf numFmtId="0" fontId="53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3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3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3" fillId="0" borderId="13" xfId="0" applyFont="1" applyBorder="1"/>
    <xf numFmtId="3" fontId="26" fillId="0" borderId="18" xfId="0" applyNumberFormat="1" applyFont="1" applyBorder="1"/>
    <xf numFmtId="3" fontId="26" fillId="0" borderId="30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3" fontId="31" fillId="0" borderId="24" xfId="71" applyNumberFormat="1" applyFont="1" applyBorder="1" applyAlignment="1">
      <alignment vertical="center" wrapText="1"/>
    </xf>
    <xf numFmtId="165" fontId="43" fillId="0" borderId="0" xfId="0" applyNumberFormat="1" applyFont="1"/>
    <xf numFmtId="3" fontId="59" fillId="0" borderId="0" xfId="0" applyNumberFormat="1" applyFont="1" applyBorder="1" applyAlignment="1">
      <alignment horizontal="center" vertical="center" wrapText="1"/>
    </xf>
    <xf numFmtId="0" fontId="90" fillId="0" borderId="107" xfId="0" applyFont="1" applyBorder="1" applyAlignment="1">
      <alignment horizontal="center"/>
    </xf>
    <xf numFmtId="0" fontId="90" fillId="0" borderId="52" xfId="0" applyFont="1" applyBorder="1" applyAlignment="1">
      <alignment horizontal="center"/>
    </xf>
    <xf numFmtId="0" fontId="58" fillId="0" borderId="60" xfId="0" applyFont="1" applyBorder="1"/>
    <xf numFmtId="0" fontId="82" fillId="0" borderId="60" xfId="0" applyFont="1" applyBorder="1"/>
    <xf numFmtId="0" fontId="85" fillId="0" borderId="60" xfId="0" applyFont="1" applyBorder="1"/>
    <xf numFmtId="0" fontId="85" fillId="0" borderId="60" xfId="0" applyFont="1" applyFill="1" applyBorder="1"/>
    <xf numFmtId="0" fontId="33" fillId="0" borderId="0" xfId="0" applyFont="1" applyBorder="1"/>
    <xf numFmtId="3" fontId="64" fillId="0" borderId="74" xfId="0" applyNumberFormat="1" applyFont="1" applyBorder="1" applyAlignment="1">
      <alignment horizontal="center" vertical="center" wrapText="1"/>
    </xf>
    <xf numFmtId="0" fontId="32" fillId="0" borderId="0" xfId="71" applyFont="1" applyAlignment="1">
      <alignment vertical="center" wrapText="1"/>
    </xf>
    <xf numFmtId="0" fontId="115" fillId="0" borderId="0" xfId="71" applyFont="1" applyAlignment="1">
      <alignment vertical="center" wrapText="1"/>
    </xf>
    <xf numFmtId="169" fontId="28" fillId="0" borderId="12" xfId="0" applyNumberFormat="1" applyFont="1" applyBorder="1" applyAlignment="1">
      <alignment horizontal="center" vertical="center"/>
    </xf>
    <xf numFmtId="3" fontId="48" fillId="0" borderId="12" xfId="0" applyNumberFormat="1" applyFont="1" applyBorder="1" applyAlignment="1">
      <alignment horizontal="right"/>
    </xf>
    <xf numFmtId="1" fontId="48" fillId="0" borderId="12" xfId="0" applyNumberFormat="1" applyFont="1" applyBorder="1" applyAlignment="1">
      <alignment horizontal="right"/>
    </xf>
    <xf numFmtId="3" fontId="110" fillId="0" borderId="24" xfId="0" applyNumberFormat="1" applyFont="1" applyBorder="1" applyAlignment="1">
      <alignment horizontal="center" vertical="center" wrapText="1"/>
    </xf>
    <xf numFmtId="3" fontId="110" fillId="0" borderId="32" xfId="0" applyNumberFormat="1" applyFont="1" applyBorder="1"/>
    <xf numFmtId="3" fontId="48" fillId="0" borderId="24" xfId="0" applyNumberFormat="1" applyFont="1" applyBorder="1" applyAlignment="1">
      <alignment horizontal="right"/>
    </xf>
    <xf numFmtId="3" fontId="48" fillId="0" borderId="12" xfId="0" applyNumberFormat="1" applyFont="1" applyBorder="1"/>
    <xf numFmtId="170" fontId="48" fillId="0" borderId="12" xfId="0" applyNumberFormat="1" applyFont="1" applyBorder="1" applyAlignment="1">
      <alignment horizontal="right"/>
    </xf>
    <xf numFmtId="0" fontId="30" fillId="0" borderId="0" xfId="78" applyFont="1" applyAlignment="1">
      <alignment vertical="center"/>
    </xf>
    <xf numFmtId="0" fontId="28" fillId="0" borderId="46" xfId="0" applyFont="1" applyBorder="1" applyAlignment="1">
      <alignment horizontal="center"/>
    </xf>
    <xf numFmtId="3" fontId="134" fillId="0" borderId="24" xfId="71" applyNumberFormat="1" applyFont="1" applyBorder="1" applyAlignment="1">
      <alignment vertical="center"/>
    </xf>
    <xf numFmtId="3" fontId="143" fillId="0" borderId="24" xfId="71" applyNumberFormat="1" applyFont="1" applyFill="1" applyBorder="1" applyAlignment="1">
      <alignment vertical="center"/>
    </xf>
    <xf numFmtId="0" fontId="143" fillId="0" borderId="0" xfId="71" applyFont="1" applyAlignment="1">
      <alignment vertical="center"/>
    </xf>
    <xf numFmtId="0" fontId="144" fillId="0" borderId="0" xfId="0" applyFont="1" applyFill="1"/>
    <xf numFmtId="0" fontId="1" fillId="0" borderId="0" xfId="70" applyAlignment="1">
      <alignment vertical="center"/>
    </xf>
    <xf numFmtId="3" fontId="147" fillId="0" borderId="24" xfId="71" applyNumberFormat="1" applyFont="1" applyBorder="1" applyAlignment="1">
      <alignment vertical="center"/>
    </xf>
    <xf numFmtId="3" fontId="148" fillId="0" borderId="0" xfId="71" applyNumberFormat="1" applyFont="1" applyAlignment="1">
      <alignment vertical="center"/>
    </xf>
    <xf numFmtId="3" fontId="146" fillId="0" borderId="24" xfId="71" applyNumberFormat="1" applyFont="1" applyBorder="1" applyAlignment="1">
      <alignment vertical="center" wrapText="1"/>
    </xf>
    <xf numFmtId="165" fontId="147" fillId="0" borderId="24" xfId="71" applyNumberFormat="1" applyFont="1" applyBorder="1" applyAlignment="1">
      <alignment vertical="center"/>
    </xf>
    <xf numFmtId="167" fontId="147" fillId="0" borderId="24" xfId="71" applyNumberFormat="1" applyFont="1" applyBorder="1" applyAlignment="1">
      <alignment vertical="center"/>
    </xf>
    <xf numFmtId="4" fontId="147" fillId="0" borderId="24" xfId="71" applyNumberFormat="1" applyFont="1" applyBorder="1" applyAlignment="1">
      <alignment vertical="center"/>
    </xf>
    <xf numFmtId="3" fontId="149" fillId="0" borderId="24" xfId="71" applyNumberFormat="1" applyFont="1" applyFill="1" applyBorder="1" applyAlignment="1">
      <alignment vertical="center"/>
    </xf>
    <xf numFmtId="3" fontId="147" fillId="0" borderId="24" xfId="71" applyNumberFormat="1" applyFont="1" applyBorder="1" applyAlignment="1">
      <alignment vertical="center" wrapText="1"/>
    </xf>
    <xf numFmtId="0" fontId="28" fillId="0" borderId="0" xfId="78" applyFont="1" applyBorder="1" applyAlignment="1">
      <alignment horizontal="center" wrapText="1"/>
    </xf>
    <xf numFmtId="165" fontId="54" fillId="0" borderId="12" xfId="0" applyNumberFormat="1" applyFont="1" applyBorder="1"/>
    <xf numFmtId="0" fontId="152" fillId="0" borderId="0" xfId="0" applyFont="1"/>
    <xf numFmtId="0" fontId="53" fillId="0" borderId="20" xfId="0" applyFont="1" applyBorder="1"/>
    <xf numFmtId="3" fontId="26" fillId="0" borderId="20" xfId="0" applyNumberFormat="1" applyFont="1" applyBorder="1"/>
    <xf numFmtId="0" fontId="20" fillId="0" borderId="20" xfId="0" applyFont="1" applyBorder="1"/>
    <xf numFmtId="3" fontId="23" fillId="0" borderId="20" xfId="0" applyNumberFormat="1" applyFont="1" applyBorder="1"/>
    <xf numFmtId="167" fontId="100" fillId="0" borderId="12" xfId="0" applyNumberFormat="1" applyFont="1" applyBorder="1" applyAlignment="1">
      <alignment horizontal="right"/>
    </xf>
    <xf numFmtId="0" fontId="53" fillId="0" borderId="42" xfId="0" applyFont="1" applyBorder="1"/>
    <xf numFmtId="3" fontId="26" fillId="0" borderId="82" xfId="0" applyNumberFormat="1" applyFont="1" applyBorder="1"/>
    <xf numFmtId="3" fontId="26" fillId="0" borderId="87" xfId="0" applyNumberFormat="1" applyFont="1" applyBorder="1"/>
    <xf numFmtId="0" fontId="53" fillId="0" borderId="82" xfId="0" applyFont="1" applyBorder="1"/>
    <xf numFmtId="0" fontId="55" fillId="0" borderId="0" xfId="0" applyFont="1" applyBorder="1" applyAlignment="1"/>
    <xf numFmtId="0" fontId="1" fillId="0" borderId="0" xfId="70" applyAlignment="1">
      <alignment vertical="center"/>
    </xf>
    <xf numFmtId="3" fontId="31" fillId="0" borderId="24" xfId="71" applyNumberFormat="1" applyFont="1" applyBorder="1" applyAlignment="1">
      <alignment horizontal="right" vertical="center" wrapText="1"/>
    </xf>
    <xf numFmtId="0" fontId="23" fillId="0" borderId="60" xfId="0" applyFont="1" applyBorder="1"/>
    <xf numFmtId="0" fontId="22" fillId="0" borderId="108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45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0" fontId="43" fillId="0" borderId="45" xfId="0" applyFont="1" applyBorder="1" applyAlignment="1">
      <alignment horizontal="center"/>
    </xf>
    <xf numFmtId="0" fontId="98" fillId="0" borderId="12" xfId="0" applyFont="1" applyBorder="1" applyAlignment="1">
      <alignment horizontal="right"/>
    </xf>
    <xf numFmtId="0" fontId="100" fillId="0" borderId="12" xfId="0" applyFont="1" applyBorder="1" applyAlignment="1">
      <alignment horizontal="right"/>
    </xf>
    <xf numFmtId="0" fontId="53" fillId="0" borderId="24" xfId="77" applyFont="1" applyBorder="1" applyAlignment="1">
      <alignment horizontal="center"/>
    </xf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100" fillId="0" borderId="24" xfId="72" applyFont="1" applyBorder="1" applyAlignment="1">
      <alignment horizontal="center"/>
    </xf>
    <xf numFmtId="0" fontId="100" fillId="0" borderId="24" xfId="72" applyFont="1" applyFill="1" applyBorder="1" applyAlignment="1">
      <alignment horizontal="center"/>
    </xf>
    <xf numFmtId="0" fontId="100" fillId="0" borderId="24" xfId="72" applyFont="1" applyBorder="1" applyAlignment="1">
      <alignment wrapText="1"/>
    </xf>
    <xf numFmtId="0" fontId="0" fillId="0" borderId="45" xfId="0" applyFont="1" applyBorder="1" applyAlignment="1">
      <alignment wrapText="1"/>
    </xf>
    <xf numFmtId="0" fontId="0" fillId="0" borderId="0" xfId="0" applyFont="1" applyAlignment="1">
      <alignment wrapText="1"/>
    </xf>
    <xf numFmtId="0" fontId="100" fillId="0" borderId="24" xfId="72" applyFont="1" applyBorder="1" applyAlignment="1">
      <alignment horizontal="center" wrapText="1"/>
    </xf>
    <xf numFmtId="49" fontId="100" fillId="0" borderId="24" xfId="72" applyNumberFormat="1" applyFont="1" applyFill="1" applyBorder="1" applyAlignment="1">
      <alignment horizontal="center" wrapText="1"/>
    </xf>
    <xf numFmtId="0" fontId="100" fillId="0" borderId="24" xfId="0" applyFont="1" applyBorder="1" applyAlignment="1">
      <alignment horizontal="center" wrapText="1"/>
    </xf>
    <xf numFmtId="0" fontId="98" fillId="0" borderId="0" xfId="72" applyFont="1" applyFill="1" applyBorder="1" applyAlignment="1">
      <alignment horizontal="center"/>
    </xf>
    <xf numFmtId="0" fontId="98" fillId="0" borderId="0" xfId="72" applyFont="1" applyFill="1" applyAlignment="1">
      <alignment horizontal="left" wrapText="1"/>
    </xf>
    <xf numFmtId="0" fontId="98" fillId="0" borderId="0" xfId="72" applyFont="1" applyFill="1" applyAlignment="1">
      <alignment wrapText="1"/>
    </xf>
    <xf numFmtId="0" fontId="98" fillId="0" borderId="0" xfId="72" applyFont="1" applyFill="1" applyAlignment="1">
      <alignment horizontal="center"/>
    </xf>
    <xf numFmtId="3" fontId="98" fillId="0" borderId="0" xfId="72" applyNumberFormat="1" applyFont="1" applyFill="1" applyAlignment="1">
      <alignment wrapText="1"/>
    </xf>
    <xf numFmtId="0" fontId="98" fillId="0" borderId="0" xfId="72" applyFont="1" applyFill="1" applyAlignment="1">
      <alignment horizontal="left"/>
    </xf>
    <xf numFmtId="0" fontId="98" fillId="0" borderId="0" xfId="72" applyFont="1" applyFill="1" applyAlignment="1"/>
    <xf numFmtId="3" fontId="98" fillId="0" borderId="0" xfId="72" applyNumberFormat="1" applyFont="1" applyFill="1" applyAlignment="1"/>
    <xf numFmtId="14" fontId="98" fillId="0" borderId="0" xfId="72" applyNumberFormat="1" applyFont="1" applyFill="1" applyAlignment="1">
      <alignment horizontal="center"/>
    </xf>
    <xf numFmtId="0" fontId="98" fillId="0" borderId="0" xfId="72" applyFont="1" applyFill="1" applyBorder="1" applyAlignment="1">
      <alignment horizontal="left"/>
    </xf>
    <xf numFmtId="0" fontId="98" fillId="0" borderId="0" xfId="72" applyFont="1" applyFill="1" applyBorder="1" applyAlignment="1">
      <alignment horizontal="left" wrapText="1"/>
    </xf>
    <xf numFmtId="14" fontId="98" fillId="0" borderId="0" xfId="72" applyNumberFormat="1" applyFont="1" applyFill="1" applyBorder="1" applyAlignment="1">
      <alignment horizontal="center"/>
    </xf>
    <xf numFmtId="3" fontId="98" fillId="0" borderId="0" xfId="72" applyNumberFormat="1" applyFont="1" applyFill="1" applyBorder="1" applyAlignment="1">
      <alignment horizontal="right"/>
    </xf>
    <xf numFmtId="0" fontId="98" fillId="0" borderId="0" xfId="72" applyFont="1" applyFill="1" applyBorder="1" applyAlignment="1" applyProtection="1">
      <alignment wrapText="1"/>
      <protection locked="0"/>
    </xf>
    <xf numFmtId="14" fontId="98" fillId="0" borderId="0" xfId="72" applyNumberFormat="1" applyFont="1" applyFill="1" applyBorder="1" applyAlignment="1" applyProtection="1">
      <alignment horizontal="center"/>
      <protection locked="0"/>
    </xf>
    <xf numFmtId="3" fontId="98" fillId="0" borderId="0" xfId="72" applyNumberFormat="1" applyFont="1" applyFill="1" applyBorder="1" applyAlignment="1" applyProtection="1">
      <alignment horizontal="right" wrapText="1"/>
      <protection locked="0"/>
    </xf>
    <xf numFmtId="3" fontId="98" fillId="0" borderId="0" xfId="72" applyNumberFormat="1" applyFont="1" applyFill="1" applyBorder="1" applyAlignment="1" applyProtection="1">
      <protection locked="0"/>
    </xf>
    <xf numFmtId="0" fontId="98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8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8" fillId="0" borderId="0" xfId="0" applyNumberFormat="1" applyFont="1" applyFill="1" applyAlignment="1">
      <alignment horizontal="center"/>
    </xf>
    <xf numFmtId="0" fontId="153" fillId="0" borderId="0" xfId="0" applyFont="1" applyFill="1" applyAlignment="1">
      <alignment horizontal="left"/>
    </xf>
    <xf numFmtId="0" fontId="98" fillId="0" borderId="0" xfId="0" applyFont="1" applyFill="1" applyAlignment="1">
      <alignment horizontal="center"/>
    </xf>
    <xf numFmtId="0" fontId="98" fillId="0" borderId="0" xfId="0" applyFont="1" applyFill="1"/>
    <xf numFmtId="0" fontId="153" fillId="0" borderId="0" xfId="0" applyFont="1" applyFill="1"/>
    <xf numFmtId="0" fontId="153" fillId="0" borderId="0" xfId="0" applyFont="1"/>
    <xf numFmtId="0" fontId="0" fillId="0" borderId="0" xfId="0" applyFont="1" applyFill="1" applyAlignment="1">
      <alignment horizontal="center"/>
    </xf>
    <xf numFmtId="3" fontId="53" fillId="0" borderId="0" xfId="0" applyNumberFormat="1" applyFont="1" applyFill="1"/>
    <xf numFmtId="3" fontId="100" fillId="0" borderId="0" xfId="0" applyNumberFormat="1" applyFont="1" applyFill="1"/>
    <xf numFmtId="0" fontId="98" fillId="0" borderId="15" xfId="0" applyFont="1" applyBorder="1" applyAlignment="1">
      <alignment wrapText="1"/>
    </xf>
    <xf numFmtId="0" fontId="100" fillId="0" borderId="24" xfId="0" applyFont="1" applyBorder="1"/>
    <xf numFmtId="0" fontId="101" fillId="0" borderId="24" xfId="0" applyFont="1" applyBorder="1" applyAlignment="1">
      <alignment horizontal="right"/>
    </xf>
    <xf numFmtId="0" fontId="98" fillId="0" borderId="24" xfId="0" applyFont="1" applyBorder="1" applyAlignment="1">
      <alignment horizontal="right"/>
    </xf>
    <xf numFmtId="0" fontId="100" fillId="0" borderId="24" xfId="0" applyFont="1" applyBorder="1" applyAlignment="1">
      <alignment horizontal="right"/>
    </xf>
    <xf numFmtId="165" fontId="100" fillId="0" borderId="24" xfId="0" applyNumberFormat="1" applyFont="1" applyBorder="1" applyAlignment="1">
      <alignment horizontal="right"/>
    </xf>
    <xf numFmtId="1" fontId="100" fillId="0" borderId="24" xfId="0" applyNumberFormat="1" applyFont="1" applyBorder="1" applyAlignment="1">
      <alignment horizontal="right"/>
    </xf>
    <xf numFmtId="167" fontId="100" fillId="0" borderId="24" xfId="0" applyNumberFormat="1" applyFont="1" applyBorder="1" applyAlignment="1">
      <alignment horizontal="right"/>
    </xf>
    <xf numFmtId="0" fontId="61" fillId="0" borderId="0" xfId="78" applyFont="1" applyBorder="1"/>
    <xf numFmtId="0" fontId="20" fillId="0" borderId="0" xfId="0" applyFont="1" applyAlignment="1">
      <alignment horizontal="center" vertical="center"/>
    </xf>
    <xf numFmtId="0" fontId="41" fillId="0" borderId="0" xfId="0" applyFont="1" applyBorder="1"/>
    <xf numFmtId="3" fontId="25" fillId="0" borderId="32" xfId="0" applyNumberFormat="1" applyFont="1" applyBorder="1"/>
    <xf numFmtId="1" fontId="48" fillId="24" borderId="12" xfId="0" applyNumberFormat="1" applyFont="1" applyFill="1" applyBorder="1" applyAlignment="1">
      <alignment horizontal="right" vertical="center"/>
    </xf>
    <xf numFmtId="1" fontId="48" fillId="0" borderId="28" xfId="0" applyNumberFormat="1" applyFont="1" applyBorder="1" applyAlignment="1">
      <alignment horizontal="right"/>
    </xf>
    <xf numFmtId="1" fontId="100" fillId="24" borderId="12" xfId="0" applyNumberFormat="1" applyFont="1" applyFill="1" applyBorder="1" applyAlignment="1">
      <alignment horizontal="right" vertical="center"/>
    </xf>
    <xf numFmtId="167" fontId="100" fillId="24" borderId="12" xfId="0" applyNumberFormat="1" applyFont="1" applyFill="1" applyBorder="1" applyAlignment="1">
      <alignment horizontal="right" vertical="center"/>
    </xf>
    <xf numFmtId="0" fontId="29" fillId="0" borderId="0" xfId="0" applyFont="1" applyAlignment="1">
      <alignment wrapText="1"/>
    </xf>
    <xf numFmtId="3" fontId="29" fillId="0" borderId="0" xfId="0" applyNumberFormat="1" applyFont="1"/>
    <xf numFmtId="0" fontId="20" fillId="0" borderId="46" xfId="0" applyFont="1" applyBorder="1" applyAlignment="1">
      <alignment horizontal="center" vertical="center"/>
    </xf>
    <xf numFmtId="3" fontId="30" fillId="0" borderId="32" xfId="0" applyNumberFormat="1" applyFont="1" applyBorder="1"/>
    <xf numFmtId="0" fontId="25" fillId="0" borderId="32" xfId="0" applyFont="1" applyBorder="1"/>
    <xf numFmtId="0" fontId="28" fillId="0" borderId="111" xfId="0" applyFont="1" applyBorder="1" applyAlignment="1">
      <alignment horizontal="center"/>
    </xf>
    <xf numFmtId="0" fontId="30" fillId="0" borderId="32" xfId="0" applyFont="1" applyBorder="1"/>
    <xf numFmtId="0" fontId="25" fillId="0" borderId="10" xfId="0" applyFont="1" applyBorder="1" applyAlignment="1">
      <alignment horizontal="center" vertical="center"/>
    </xf>
    <xf numFmtId="3" fontId="25" fillId="0" borderId="83" xfId="0" applyNumberFormat="1" applyFont="1" applyBorder="1" applyAlignment="1">
      <alignment horizontal="center" vertical="center"/>
    </xf>
    <xf numFmtId="0" fontId="28" fillId="0" borderId="24" xfId="0" applyFont="1" applyBorder="1" applyAlignment="1">
      <alignment horizontal="center"/>
    </xf>
    <xf numFmtId="0" fontId="35" fillId="0" borderId="24" xfId="0" applyFont="1" applyBorder="1" applyAlignment="1">
      <alignment horizontal="center"/>
    </xf>
    <xf numFmtId="0" fontId="25" fillId="0" borderId="52" xfId="0" applyFont="1" applyBorder="1" applyAlignment="1">
      <alignment horizontal="center" vertical="center"/>
    </xf>
    <xf numFmtId="3" fontId="69" fillId="0" borderId="48" xfId="0" applyNumberFormat="1" applyFont="1" applyBorder="1" applyAlignment="1">
      <alignment horizontal="center" vertical="center" wrapText="1"/>
    </xf>
    <xf numFmtId="3" fontId="69" fillId="0" borderId="40" xfId="0" applyNumberFormat="1" applyFont="1" applyBorder="1" applyAlignment="1">
      <alignment horizontal="center" vertical="center" wrapText="1"/>
    </xf>
    <xf numFmtId="3" fontId="69" fillId="0" borderId="23" xfId="0" applyNumberFormat="1" applyFont="1" applyBorder="1" applyAlignment="1">
      <alignment horizontal="center" vertical="center" wrapText="1"/>
    </xf>
    <xf numFmtId="0" fontId="64" fillId="0" borderId="24" xfId="0" applyFont="1" applyBorder="1"/>
    <xf numFmtId="3" fontId="25" fillId="0" borderId="24" xfId="0" applyNumberFormat="1" applyFont="1" applyBorder="1"/>
    <xf numFmtId="3" fontId="64" fillId="0" borderId="24" xfId="0" applyNumberFormat="1" applyFont="1" applyBorder="1"/>
    <xf numFmtId="3" fontId="28" fillId="0" borderId="24" xfId="0" applyNumberFormat="1" applyFont="1" applyBorder="1"/>
    <xf numFmtId="0" fontId="28" fillId="0" borderId="24" xfId="0" applyFont="1" applyBorder="1"/>
    <xf numFmtId="0" fontId="35" fillId="0" borderId="24" xfId="0" applyFont="1" applyBorder="1"/>
    <xf numFmtId="0" fontId="57" fillId="0" borderId="24" xfId="0" applyFont="1" applyBorder="1"/>
    <xf numFmtId="3" fontId="58" fillId="0" borderId="24" xfId="0" applyNumberFormat="1" applyFont="1" applyBorder="1"/>
    <xf numFmtId="3" fontId="58" fillId="0" borderId="24" xfId="74" applyNumberFormat="1" applyFont="1" applyBorder="1"/>
    <xf numFmtId="16" fontId="57" fillId="0" borderId="24" xfId="0" applyNumberFormat="1" applyFont="1" applyBorder="1"/>
    <xf numFmtId="3" fontId="35" fillId="0" borderId="24" xfId="0" applyNumberFormat="1" applyFont="1" applyBorder="1"/>
    <xf numFmtId="3" fontId="57" fillId="0" borderId="24" xfId="0" applyNumberFormat="1" applyFont="1" applyBorder="1"/>
    <xf numFmtId="0" fontId="38" fillId="0" borderId="24" xfId="0" applyFont="1" applyBorder="1"/>
    <xf numFmtId="0" fontId="66" fillId="0" borderId="24" xfId="0" applyFont="1" applyBorder="1"/>
    <xf numFmtId="3" fontId="140" fillId="0" borderId="24" xfId="0" applyNumberFormat="1" applyFont="1" applyBorder="1"/>
    <xf numFmtId="3" fontId="39" fillId="0" borderId="24" xfId="0" applyNumberFormat="1" applyFont="1" applyBorder="1"/>
    <xf numFmtId="3" fontId="59" fillId="0" borderId="24" xfId="0" applyNumberFormat="1" applyFont="1" applyBorder="1"/>
    <xf numFmtId="3" fontId="30" fillId="0" borderId="24" xfId="0" applyNumberFormat="1" applyFont="1" applyBorder="1"/>
    <xf numFmtId="0" fontId="34" fillId="0" borderId="24" xfId="0" applyFont="1" applyBorder="1"/>
    <xf numFmtId="0" fontId="25" fillId="0" borderId="24" xfId="0" applyFont="1" applyBorder="1"/>
    <xf numFmtId="0" fontId="30" fillId="0" borderId="24" xfId="0" applyFont="1" applyBorder="1"/>
    <xf numFmtId="0" fontId="25" fillId="0" borderId="24" xfId="0" applyFont="1" applyBorder="1" applyAlignment="1">
      <alignment wrapText="1"/>
    </xf>
    <xf numFmtId="3" fontId="57" fillId="0" borderId="24" xfId="0" applyNumberFormat="1" applyFont="1" applyBorder="1" applyAlignment="1">
      <alignment wrapText="1"/>
    </xf>
    <xf numFmtId="3" fontId="58" fillId="0" borderId="24" xfId="0" applyNumberFormat="1" applyFont="1" applyBorder="1" applyAlignment="1">
      <alignment wrapText="1"/>
    </xf>
    <xf numFmtId="0" fontId="28" fillId="0" borderId="24" xfId="0" applyFont="1" applyBorder="1" applyAlignment="1">
      <alignment wrapText="1"/>
    </xf>
    <xf numFmtId="3" fontId="59" fillId="0" borderId="24" xfId="0" applyNumberFormat="1" applyFont="1" applyBorder="1" applyAlignment="1">
      <alignment wrapText="1"/>
    </xf>
    <xf numFmtId="0" fontId="28" fillId="0" borderId="25" xfId="0" applyFont="1" applyBorder="1" applyAlignment="1">
      <alignment horizontal="center"/>
    </xf>
    <xf numFmtId="0" fontId="25" fillId="0" borderId="25" xfId="0" applyFont="1" applyBorder="1"/>
    <xf numFmtId="3" fontId="59" fillId="0" borderId="25" xfId="0" applyNumberFormat="1" applyFont="1" applyBorder="1"/>
    <xf numFmtId="3" fontId="30" fillId="0" borderId="25" xfId="0" applyNumberFormat="1" applyFont="1" applyBorder="1"/>
    <xf numFmtId="0" fontId="28" fillId="0" borderId="25" xfId="0" applyFont="1" applyBorder="1"/>
    <xf numFmtId="0" fontId="35" fillId="0" borderId="25" xfId="0" applyFont="1" applyBorder="1"/>
    <xf numFmtId="3" fontId="30" fillId="0" borderId="32" xfId="0" applyNumberFormat="1" applyFont="1" applyFill="1" applyBorder="1"/>
    <xf numFmtId="0" fontId="28" fillId="0" borderId="32" xfId="0" applyFont="1" applyBorder="1"/>
    <xf numFmtId="0" fontId="35" fillId="0" borderId="56" xfId="0" applyFont="1" applyBorder="1"/>
    <xf numFmtId="0" fontId="30" fillId="0" borderId="15" xfId="0" applyFont="1" applyBorder="1" applyAlignment="1">
      <alignment horizontal="center" vertical="center"/>
    </xf>
    <xf numFmtId="3" fontId="93" fillId="0" borderId="24" xfId="0" applyNumberFormat="1" applyFont="1" applyBorder="1" applyAlignment="1">
      <alignment horizontal="center" vertical="center" wrapText="1"/>
    </xf>
    <xf numFmtId="3" fontId="69" fillId="0" borderId="24" xfId="0" applyNumberFormat="1" applyFont="1" applyBorder="1" applyAlignment="1">
      <alignment horizontal="center" vertical="center" wrapText="1"/>
    </xf>
    <xf numFmtId="0" fontId="30" fillId="0" borderId="48" xfId="0" applyFont="1" applyBorder="1" applyAlignment="1">
      <alignment horizontal="center" vertical="center"/>
    </xf>
    <xf numFmtId="3" fontId="93" fillId="0" borderId="48" xfId="0" applyNumberFormat="1" applyFont="1" applyBorder="1" applyAlignment="1">
      <alignment horizontal="center" vertical="center" wrapText="1"/>
    </xf>
    <xf numFmtId="3" fontId="93" fillId="0" borderId="40" xfId="0" applyNumberFormat="1" applyFont="1" applyBorder="1" applyAlignment="1">
      <alignment horizontal="center" vertical="center" wrapText="1"/>
    </xf>
    <xf numFmtId="3" fontId="69" fillId="0" borderId="25" xfId="0" applyNumberFormat="1" applyFont="1" applyBorder="1" applyAlignment="1">
      <alignment horizontal="center" vertical="center" wrapText="1"/>
    </xf>
    <xf numFmtId="3" fontId="30" fillId="0" borderId="83" xfId="0" applyNumberFormat="1" applyFont="1" applyBorder="1" applyAlignment="1">
      <alignment horizontal="center" vertical="center"/>
    </xf>
    <xf numFmtId="0" fontId="59" fillId="0" borderId="24" xfId="0" applyFont="1" applyBorder="1"/>
    <xf numFmtId="0" fontId="58" fillId="0" borderId="24" xfId="0" applyFont="1" applyBorder="1"/>
    <xf numFmtId="0" fontId="138" fillId="0" borderId="24" xfId="0" applyFont="1" applyBorder="1"/>
    <xf numFmtId="0" fontId="39" fillId="0" borderId="24" xfId="0" applyFont="1" applyBorder="1"/>
    <xf numFmtId="3" fontId="138" fillId="0" borderId="24" xfId="74" applyNumberFormat="1" applyFont="1" applyBorder="1"/>
    <xf numFmtId="0" fontId="35" fillId="0" borderId="24" xfId="0" applyFont="1" applyBorder="1" applyAlignment="1">
      <alignment horizontal="center" vertical="center"/>
    </xf>
    <xf numFmtId="0" fontId="30" fillId="0" borderId="24" xfId="0" applyFont="1" applyBorder="1" applyAlignment="1">
      <alignment wrapText="1"/>
    </xf>
    <xf numFmtId="0" fontId="35" fillId="0" borderId="24" xfId="0" applyFont="1" applyBorder="1" applyAlignment="1">
      <alignment wrapText="1"/>
    </xf>
    <xf numFmtId="3" fontId="66" fillId="0" borderId="24" xfId="0" applyNumberFormat="1" applyFont="1" applyBorder="1"/>
    <xf numFmtId="0" fontId="35" fillId="0" borderId="25" xfId="0" applyFont="1" applyBorder="1" applyAlignment="1">
      <alignment horizontal="center" vertical="center"/>
    </xf>
    <xf numFmtId="0" fontId="30" fillId="0" borderId="25" xfId="0" applyFont="1" applyBorder="1"/>
    <xf numFmtId="0" fontId="35" fillId="0" borderId="111" xfId="0" applyFont="1" applyBorder="1" applyAlignment="1">
      <alignment horizontal="center" vertical="center"/>
    </xf>
    <xf numFmtId="0" fontId="28" fillId="0" borderId="56" xfId="0" applyFont="1" applyBorder="1"/>
    <xf numFmtId="3" fontId="57" fillId="0" borderId="24" xfId="74" applyNumberFormat="1" applyFont="1" applyBorder="1"/>
    <xf numFmtId="3" fontId="68" fillId="0" borderId="24" xfId="0" applyNumberFormat="1" applyFont="1" applyBorder="1"/>
    <xf numFmtId="3" fontId="38" fillId="0" borderId="24" xfId="0" applyNumberFormat="1" applyFont="1" applyBorder="1"/>
    <xf numFmtId="0" fontId="68" fillId="0" borderId="24" xfId="0" applyFont="1" applyBorder="1"/>
    <xf numFmtId="3" fontId="34" fillId="0" borderId="24" xfId="0" applyNumberFormat="1" applyFont="1" applyBorder="1"/>
    <xf numFmtId="3" fontId="25" fillId="0" borderId="24" xfId="0" applyNumberFormat="1" applyFont="1" applyFill="1" applyBorder="1"/>
    <xf numFmtId="3" fontId="122" fillId="0" borderId="24" xfId="0" applyNumberFormat="1" applyFont="1" applyBorder="1"/>
    <xf numFmtId="3" fontId="64" fillId="0" borderId="24" xfId="0" applyNumberFormat="1" applyFont="1" applyBorder="1" applyAlignment="1">
      <alignment wrapText="1"/>
    </xf>
    <xf numFmtId="3" fontId="64" fillId="0" borderId="25" xfId="0" applyNumberFormat="1" applyFont="1" applyBorder="1"/>
    <xf numFmtId="3" fontId="25" fillId="0" borderId="25" xfId="0" applyNumberFormat="1" applyFont="1" applyBorder="1"/>
    <xf numFmtId="3" fontId="25" fillId="0" borderId="32" xfId="0" applyNumberFormat="1" applyFont="1" applyFill="1" applyBorder="1"/>
    <xf numFmtId="0" fontId="23" fillId="0" borderId="24" xfId="0" applyFont="1" applyBorder="1"/>
    <xf numFmtId="0" fontId="29" fillId="0" borderId="28" xfId="0" applyFont="1" applyBorder="1" applyAlignment="1">
      <alignment horizontal="center" vertical="center" wrapText="1"/>
    </xf>
    <xf numFmtId="0" fontId="22" fillId="0" borderId="24" xfId="0" applyFont="1" applyBorder="1" applyAlignment="1">
      <alignment vertical="center"/>
    </xf>
    <xf numFmtId="0" fontId="22" fillId="0" borderId="24" xfId="0" applyFont="1" applyFill="1" applyBorder="1" applyAlignment="1">
      <alignment vertical="center" wrapText="1"/>
    </xf>
    <xf numFmtId="3" fontId="23" fillId="0" borderId="24" xfId="0" applyNumberFormat="1" applyFont="1" applyBorder="1" applyAlignment="1">
      <alignment vertical="center"/>
    </xf>
    <xf numFmtId="0" fontId="121" fillId="0" borderId="24" xfId="0" applyFont="1" applyBorder="1"/>
    <xf numFmtId="0" fontId="22" fillId="0" borderId="24" xfId="0" applyFont="1" applyBorder="1"/>
    <xf numFmtId="9" fontId="22" fillId="0" borderId="24" xfId="0" applyNumberFormat="1" applyFont="1" applyBorder="1" applyAlignment="1">
      <alignment horizontal="left"/>
    </xf>
    <xf numFmtId="3" fontId="23" fillId="0" borderId="24" xfId="0" applyNumberFormat="1" applyFont="1" applyBorder="1"/>
    <xf numFmtId="0" fontId="83" fillId="0" borderId="24" xfId="0" applyFont="1" applyBorder="1"/>
    <xf numFmtId="10" fontId="22" fillId="0" borderId="24" xfId="0" applyNumberFormat="1" applyFont="1" applyBorder="1"/>
    <xf numFmtId="0" fontId="22" fillId="0" borderId="24" xfId="0" applyFont="1" applyBorder="1" applyAlignment="1">
      <alignment wrapText="1"/>
    </xf>
    <xf numFmtId="9" fontId="22" fillId="0" borderId="24" xfId="0" applyNumberFormat="1" applyFont="1" applyBorder="1"/>
    <xf numFmtId="0" fontId="81" fillId="0" borderId="24" xfId="0" applyFont="1" applyBorder="1"/>
    <xf numFmtId="10" fontId="23" fillId="0" borderId="24" xfId="0" applyNumberFormat="1" applyFont="1" applyBorder="1"/>
    <xf numFmtId="0" fontId="22" fillId="0" borderId="25" xfId="0" applyFont="1" applyBorder="1" applyAlignment="1">
      <alignment vertical="center"/>
    </xf>
    <xf numFmtId="9" fontId="22" fillId="0" borderId="25" xfId="0" applyNumberFormat="1" applyFont="1" applyBorder="1" applyAlignment="1">
      <alignment horizontal="left" vertical="center"/>
    </xf>
    <xf numFmtId="3" fontId="23" fillId="0" borderId="25" xfId="0" applyNumberFormat="1" applyFont="1" applyBorder="1" applyAlignment="1">
      <alignment vertical="center"/>
    </xf>
    <xf numFmtId="0" fontId="23" fillId="0" borderId="25" xfId="0" applyFont="1" applyBorder="1"/>
    <xf numFmtId="3" fontId="23" fillId="0" borderId="45" xfId="0" applyNumberFormat="1" applyFont="1" applyBorder="1"/>
    <xf numFmtId="0" fontId="23" fillId="0" borderId="45" xfId="0" applyFont="1" applyBorder="1"/>
    <xf numFmtId="0" fontId="24" fillId="0" borderId="111" xfId="0" applyFont="1" applyBorder="1" applyAlignment="1">
      <alignment vertical="center"/>
    </xf>
    <xf numFmtId="9" fontId="22" fillId="0" borderId="32" xfId="0" applyNumberFormat="1" applyFont="1" applyBorder="1" applyAlignment="1">
      <alignment horizontal="left" vertical="center"/>
    </xf>
    <xf numFmtId="3" fontId="26" fillId="0" borderId="32" xfId="0" applyNumberFormat="1" applyFont="1" applyBorder="1" applyAlignment="1">
      <alignment vertical="center"/>
    </xf>
    <xf numFmtId="0" fontId="23" fillId="0" borderId="32" xfId="0" applyFont="1" applyBorder="1"/>
    <xf numFmtId="0" fontId="23" fillId="0" borderId="56" xfId="0" applyFont="1" applyBorder="1"/>
    <xf numFmtId="9" fontId="22" fillId="0" borderId="26" xfId="0" applyNumberFormat="1" applyFont="1" applyBorder="1" applyAlignment="1">
      <alignment horizontal="left"/>
    </xf>
    <xf numFmtId="3" fontId="23" fillId="0" borderId="26" xfId="0" applyNumberFormat="1" applyFont="1" applyBorder="1"/>
    <xf numFmtId="0" fontId="23" fillId="0" borderId="26" xfId="0" applyFont="1" applyBorder="1"/>
    <xf numFmtId="0" fontId="24" fillId="0" borderId="45" xfId="0" applyFont="1" applyBorder="1"/>
    <xf numFmtId="10" fontId="22" fillId="0" borderId="45" xfId="0" applyNumberFormat="1" applyFont="1" applyBorder="1"/>
    <xf numFmtId="0" fontId="109" fillId="0" borderId="111" xfId="0" applyFont="1" applyFill="1" applyBorder="1"/>
    <xf numFmtId="10" fontId="23" fillId="0" borderId="32" xfId="0" applyNumberFormat="1" applyFont="1" applyFill="1" applyBorder="1" applyAlignment="1">
      <alignment horizontal="left"/>
    </xf>
    <xf numFmtId="3" fontId="26" fillId="0" borderId="32" xfId="0" applyNumberFormat="1" applyFont="1" applyBorder="1"/>
    <xf numFmtId="0" fontId="83" fillId="0" borderId="32" xfId="0" applyFont="1" applyBorder="1"/>
    <xf numFmtId="0" fontId="83" fillId="0" borderId="56" xfId="0" applyFont="1" applyBorder="1"/>
    <xf numFmtId="0" fontId="22" fillId="0" borderId="25" xfId="0" applyFont="1" applyBorder="1"/>
    <xf numFmtId="10" fontId="22" fillId="0" borderId="25" xfId="0" applyNumberFormat="1" applyFont="1" applyBorder="1"/>
    <xf numFmtId="3" fontId="23" fillId="0" borderId="25" xfId="0" applyNumberFormat="1" applyFont="1" applyBorder="1"/>
    <xf numFmtId="0" fontId="24" fillId="0" borderId="111" xfId="0" applyFont="1" applyBorder="1"/>
    <xf numFmtId="10" fontId="22" fillId="0" borderId="32" xfId="0" applyNumberFormat="1" applyFont="1" applyBorder="1"/>
    <xf numFmtId="0" fontId="22" fillId="0" borderId="25" xfId="0" applyFont="1" applyBorder="1" applyAlignment="1">
      <alignment vertical="top"/>
    </xf>
    <xf numFmtId="10" fontId="22" fillId="0" borderId="25" xfId="0" applyNumberFormat="1" applyFont="1" applyBorder="1" applyAlignment="1">
      <alignment wrapText="1"/>
    </xf>
    <xf numFmtId="0" fontId="24" fillId="0" borderId="26" xfId="0" applyFont="1" applyBorder="1"/>
    <xf numFmtId="10" fontId="22" fillId="0" borderId="26" xfId="0" applyNumberFormat="1" applyFont="1" applyBorder="1"/>
    <xf numFmtId="0" fontId="22" fillId="0" borderId="32" xfId="0" applyFont="1" applyBorder="1"/>
    <xf numFmtId="3" fontId="26" fillId="0" borderId="32" xfId="0" applyNumberFormat="1" applyFont="1" applyFill="1" applyBorder="1"/>
    <xf numFmtId="3" fontId="64" fillId="0" borderId="75" xfId="0" applyNumberFormat="1" applyFont="1" applyBorder="1" applyAlignment="1">
      <alignment horizontal="center" vertical="center" wrapText="1"/>
    </xf>
    <xf numFmtId="0" fontId="77" fillId="0" borderId="24" xfId="0" applyFont="1" applyBorder="1" applyAlignment="1">
      <alignment horizontal="left" vertical="center"/>
    </xf>
    <xf numFmtId="0" fontId="33" fillId="0" borderId="24" xfId="0" applyFont="1" applyBorder="1"/>
    <xf numFmtId="0" fontId="25" fillId="0" borderId="24" xfId="0" applyFont="1" applyBorder="1" applyAlignment="1">
      <alignment horizontal="left" vertical="center"/>
    </xf>
    <xf numFmtId="0" fontId="36" fillId="0" borderId="24" xfId="0" applyFont="1" applyBorder="1"/>
    <xf numFmtId="0" fontId="34" fillId="0" borderId="24" xfId="0" applyFont="1" applyBorder="1" applyAlignment="1">
      <alignment horizontal="left" vertical="center"/>
    </xf>
    <xf numFmtId="3" fontId="28" fillId="25" borderId="24" xfId="0" applyNumberFormat="1" applyFont="1" applyFill="1" applyBorder="1"/>
    <xf numFmtId="3" fontId="137" fillId="0" borderId="24" xfId="0" applyNumberFormat="1" applyFont="1" applyBorder="1"/>
    <xf numFmtId="0" fontId="28" fillId="0" borderId="24" xfId="0" applyFont="1" applyBorder="1" applyAlignment="1">
      <alignment horizontal="left" vertical="center"/>
    </xf>
    <xf numFmtId="0" fontId="28" fillId="0" borderId="24" xfId="0" applyFont="1" applyBorder="1" applyAlignment="1">
      <alignment horizontal="left"/>
    </xf>
    <xf numFmtId="0" fontId="34" fillId="0" borderId="24" xfId="0" applyFont="1" applyBorder="1" applyAlignment="1">
      <alignment wrapText="1"/>
    </xf>
    <xf numFmtId="0" fontId="77" fillId="0" borderId="24" xfId="0" applyFont="1" applyBorder="1"/>
    <xf numFmtId="0" fontId="25" fillId="0" borderId="24" xfId="0" applyFont="1" applyBorder="1" applyAlignment="1">
      <alignment horizontal="left"/>
    </xf>
    <xf numFmtId="0" fontId="34" fillId="0" borderId="24" xfId="0" applyFont="1" applyBorder="1" applyAlignment="1">
      <alignment horizontal="center" vertical="center"/>
    </xf>
    <xf numFmtId="0" fontId="80" fillId="0" borderId="24" xfId="0" applyFont="1" applyBorder="1" applyAlignment="1">
      <alignment horizontal="left" wrapText="1"/>
    </xf>
    <xf numFmtId="0" fontId="28" fillId="0" borderId="24" xfId="0" applyFont="1" applyBorder="1" applyAlignment="1">
      <alignment horizontal="left" wrapText="1"/>
    </xf>
    <xf numFmtId="0" fontId="62" fillId="0" borderId="24" xfId="0" applyFont="1" applyBorder="1" applyAlignment="1">
      <alignment wrapText="1"/>
    </xf>
    <xf numFmtId="0" fontId="80" fillId="0" borderId="24" xfId="0" applyFont="1" applyBorder="1" applyAlignment="1">
      <alignment wrapText="1"/>
    </xf>
    <xf numFmtId="3" fontId="80" fillId="0" borderId="24" xfId="0" applyNumberFormat="1" applyFont="1" applyBorder="1" applyAlignment="1">
      <alignment wrapText="1"/>
    </xf>
    <xf numFmtId="3" fontId="28" fillId="0" borderId="24" xfId="0" applyNumberFormat="1" applyFont="1" applyBorder="1" applyAlignment="1">
      <alignment wrapText="1"/>
    </xf>
    <xf numFmtId="0" fontId="34" fillId="0" borderId="25" xfId="0" applyFont="1" applyBorder="1" applyAlignment="1">
      <alignment horizontal="center" vertical="center"/>
    </xf>
    <xf numFmtId="0" fontId="28" fillId="0" borderId="25" xfId="0" applyFont="1" applyBorder="1" applyAlignment="1">
      <alignment wrapText="1"/>
    </xf>
    <xf numFmtId="3" fontId="28" fillId="0" borderId="25" xfId="0" applyNumberFormat="1" applyFont="1" applyBorder="1"/>
    <xf numFmtId="0" fontId="34" fillId="0" borderId="111" xfId="0" applyFont="1" applyBorder="1" applyAlignment="1">
      <alignment horizontal="center" vertical="center"/>
    </xf>
    <xf numFmtId="0" fontId="25" fillId="0" borderId="32" xfId="0" applyFont="1" applyBorder="1" applyAlignment="1">
      <alignment wrapText="1"/>
    </xf>
    <xf numFmtId="3" fontId="28" fillId="0" borderId="32" xfId="0" applyNumberFormat="1" applyFont="1" applyBorder="1"/>
    <xf numFmtId="0" fontId="35" fillId="0" borderId="32" xfId="0" applyFont="1" applyBorder="1"/>
    <xf numFmtId="0" fontId="40" fillId="0" borderId="24" xfId="0" applyFont="1" applyBorder="1"/>
    <xf numFmtId="0" fontId="56" fillId="0" borderId="24" xfId="0" applyFont="1" applyBorder="1" applyAlignment="1">
      <alignment horizontal="center"/>
    </xf>
    <xf numFmtId="0" fontId="141" fillId="0" borderId="24" xfId="0" applyFont="1" applyBorder="1" applyAlignment="1">
      <alignment vertical="center" wrapText="1"/>
    </xf>
    <xf numFmtId="3" fontId="31" fillId="0" borderId="24" xfId="0" applyNumberFormat="1" applyFont="1" applyBorder="1" applyAlignment="1">
      <alignment horizontal="center" vertical="center" wrapText="1"/>
    </xf>
    <xf numFmtId="3" fontId="31" fillId="0" borderId="24" xfId="0" applyNumberFormat="1" applyFont="1" applyBorder="1"/>
    <xf numFmtId="0" fontId="56" fillId="0" borderId="24" xfId="0" applyFont="1" applyBorder="1" applyAlignment="1">
      <alignment horizontal="center" vertical="center"/>
    </xf>
    <xf numFmtId="0" fontId="110" fillId="0" borderId="24" xfId="0" applyFont="1" applyBorder="1" applyAlignment="1">
      <alignment vertical="center" wrapText="1"/>
    </xf>
    <xf numFmtId="3" fontId="31" fillId="0" borderId="24" xfId="0" applyNumberFormat="1" applyFont="1" applyBorder="1" applyAlignment="1">
      <alignment vertical="center"/>
    </xf>
    <xf numFmtId="0" fontId="31" fillId="0" borderId="24" xfId="0" applyFont="1" applyBorder="1" applyAlignment="1">
      <alignment wrapText="1"/>
    </xf>
    <xf numFmtId="0" fontId="31" fillId="0" borderId="24" xfId="0" applyFont="1" applyBorder="1" applyAlignment="1">
      <alignment horizontal="left" wrapText="1"/>
    </xf>
    <xf numFmtId="0" fontId="31" fillId="25" borderId="24" xfId="0" applyFont="1" applyFill="1" applyBorder="1" applyAlignment="1">
      <alignment horizontal="left" wrapText="1"/>
    </xf>
    <xf numFmtId="3" fontId="31" fillId="25" borderId="24" xfId="0" applyNumberFormat="1" applyFont="1" applyFill="1" applyBorder="1"/>
    <xf numFmtId="0" fontId="110" fillId="0" borderId="24" xfId="0" applyFont="1" applyBorder="1" applyAlignment="1">
      <alignment wrapText="1"/>
    </xf>
    <xf numFmtId="0" fontId="31" fillId="0" borderId="24" xfId="0" applyFont="1" applyBorder="1" applyAlignment="1">
      <alignment vertical="center" wrapText="1"/>
    </xf>
    <xf numFmtId="3" fontId="33" fillId="0" borderId="24" xfId="0" applyNumberFormat="1" applyFont="1" applyBorder="1"/>
    <xf numFmtId="0" fontId="31" fillId="25" borderId="24" xfId="0" applyFont="1" applyFill="1" applyBorder="1" applyAlignment="1">
      <alignment wrapText="1"/>
    </xf>
    <xf numFmtId="3" fontId="31" fillId="25" borderId="24" xfId="0" applyNumberFormat="1" applyFont="1" applyFill="1" applyBorder="1" applyAlignment="1">
      <alignment vertical="center"/>
    </xf>
    <xf numFmtId="3" fontId="110" fillId="0" borderId="24" xfId="0" applyNumberFormat="1" applyFont="1" applyBorder="1" applyAlignment="1">
      <alignment vertical="center"/>
    </xf>
    <xf numFmtId="0" fontId="56" fillId="0" borderId="24" xfId="0" applyFont="1" applyBorder="1" applyAlignment="1">
      <alignment wrapText="1"/>
    </xf>
    <xf numFmtId="3" fontId="56" fillId="0" borderId="24" xfId="0" applyNumberFormat="1" applyFont="1" applyBorder="1"/>
    <xf numFmtId="0" fontId="156" fillId="0" borderId="24" xfId="0" applyFont="1" applyBorder="1" applyAlignment="1">
      <alignment wrapText="1"/>
    </xf>
    <xf numFmtId="3" fontId="29" fillId="0" borderId="24" xfId="0" applyNumberFormat="1" applyFont="1" applyBorder="1"/>
    <xf numFmtId="0" fontId="56" fillId="0" borderId="25" xfId="0" applyFont="1" applyBorder="1" applyAlignment="1">
      <alignment horizontal="center"/>
    </xf>
    <xf numFmtId="0" fontId="31" fillId="25" borderId="25" xfId="0" applyFont="1" applyFill="1" applyBorder="1" applyAlignment="1">
      <alignment horizontal="left" wrapText="1"/>
    </xf>
    <xf numFmtId="3" fontId="31" fillId="25" borderId="25" xfId="0" applyNumberFormat="1" applyFont="1" applyFill="1" applyBorder="1"/>
    <xf numFmtId="0" fontId="40" fillId="0" borderId="25" xfId="0" applyFont="1" applyBorder="1"/>
    <xf numFmtId="0" fontId="56" fillId="0" borderId="45" xfId="0" applyFont="1" applyBorder="1" applyAlignment="1">
      <alignment horizontal="center"/>
    </xf>
    <xf numFmtId="0" fontId="31" fillId="0" borderId="45" xfId="0" applyFont="1" applyBorder="1" applyAlignment="1">
      <alignment wrapText="1"/>
    </xf>
    <xf numFmtId="3" fontId="31" fillId="0" borderId="45" xfId="0" applyNumberFormat="1" applyFont="1" applyBorder="1"/>
    <xf numFmtId="0" fontId="40" fillId="0" borderId="45" xfId="0" applyFont="1" applyBorder="1"/>
    <xf numFmtId="0" fontId="56" fillId="0" borderId="111" xfId="0" applyFont="1" applyBorder="1" applyAlignment="1">
      <alignment horizontal="center"/>
    </xf>
    <xf numFmtId="0" fontId="110" fillId="0" borderId="32" xfId="0" applyFont="1" applyBorder="1" applyAlignment="1">
      <alignment wrapText="1"/>
    </xf>
    <xf numFmtId="0" fontId="40" fillId="0" borderId="32" xfId="0" applyFont="1" applyBorder="1"/>
    <xf numFmtId="0" fontId="40" fillId="0" borderId="56" xfId="0" applyFont="1" applyBorder="1"/>
    <xf numFmtId="0" fontId="33" fillId="0" borderId="32" xfId="0" applyFont="1" applyBorder="1"/>
    <xf numFmtId="0" fontId="33" fillId="0" borderId="56" xfId="0" applyFont="1" applyBorder="1"/>
    <xf numFmtId="0" fontId="110" fillId="0" borderId="25" xfId="0" applyFont="1" applyBorder="1" applyAlignment="1">
      <alignment wrapText="1"/>
    </xf>
    <xf numFmtId="3" fontId="29" fillId="0" borderId="25" xfId="0" applyNumberFormat="1" applyFont="1" applyBorder="1"/>
    <xf numFmtId="0" fontId="29" fillId="0" borderId="32" xfId="0" applyFont="1" applyBorder="1" applyAlignment="1">
      <alignment wrapText="1"/>
    </xf>
    <xf numFmtId="3" fontId="29" fillId="0" borderId="32" xfId="0" applyNumberFormat="1" applyFont="1" applyBorder="1"/>
    <xf numFmtId="3" fontId="29" fillId="0" borderId="24" xfId="0" applyNumberFormat="1" applyFont="1" applyBorder="1" applyAlignment="1">
      <alignment vertical="center"/>
    </xf>
    <xf numFmtId="0" fontId="56" fillId="0" borderId="24" xfId="0" applyFont="1" applyBorder="1" applyAlignment="1">
      <alignment horizontal="center" vertical="top"/>
    </xf>
    <xf numFmtId="0" fontId="56" fillId="0" borderId="111" xfId="0" applyFont="1" applyBorder="1" applyAlignment="1">
      <alignment horizontal="center" vertical="center"/>
    </xf>
    <xf numFmtId="0" fontId="35" fillId="0" borderId="24" xfId="78" applyFont="1" applyBorder="1"/>
    <xf numFmtId="3" fontId="25" fillId="0" borderId="0" xfId="78" applyNumberFormat="1" applyFont="1" applyBorder="1" applyAlignment="1">
      <alignment horizontal="center" vertical="center"/>
    </xf>
    <xf numFmtId="0" fontId="37" fillId="0" borderId="24" xfId="78" applyFont="1" applyBorder="1"/>
    <xf numFmtId="3" fontId="25" fillId="0" borderId="113" xfId="78" applyNumberFormat="1" applyFont="1" applyBorder="1" applyAlignment="1">
      <alignment horizontal="center" vertical="center" wrapText="1"/>
    </xf>
    <xf numFmtId="3" fontId="25" fillId="0" borderId="99" xfId="78" applyNumberFormat="1" applyFont="1" applyBorder="1" applyAlignment="1">
      <alignment horizontal="center" vertical="center"/>
    </xf>
    <xf numFmtId="3" fontId="25" fillId="0" borderId="100" xfId="78" applyNumberFormat="1" applyFont="1" applyBorder="1" applyAlignment="1">
      <alignment horizontal="center" vertical="center"/>
    </xf>
    <xf numFmtId="0" fontId="37" fillId="0" borderId="114" xfId="78" applyFont="1" applyBorder="1"/>
    <xf numFmtId="0" fontId="37" fillId="0" borderId="115" xfId="78" applyFont="1" applyBorder="1"/>
    <xf numFmtId="3" fontId="25" fillId="0" borderId="116" xfId="78" applyNumberFormat="1" applyFont="1" applyBorder="1" applyAlignment="1">
      <alignment horizontal="center" vertical="center" wrapText="1"/>
    </xf>
    <xf numFmtId="0" fontId="37" fillId="0" borderId="117" xfId="78" applyFont="1" applyBorder="1"/>
    <xf numFmtId="3" fontId="69" fillId="0" borderId="121" xfId="0" applyNumberFormat="1" applyFont="1" applyBorder="1" applyAlignment="1">
      <alignment horizontal="center" vertical="center" wrapText="1"/>
    </xf>
    <xf numFmtId="3" fontId="69" fillId="0" borderId="39" xfId="0" applyNumberFormat="1" applyFont="1" applyBorder="1" applyAlignment="1">
      <alignment horizontal="center" vertical="center" wrapText="1"/>
    </xf>
    <xf numFmtId="3" fontId="69" fillId="0" borderId="122" xfId="0" applyNumberFormat="1" applyFont="1" applyBorder="1" applyAlignment="1">
      <alignment horizontal="center" vertical="center" wrapText="1"/>
    </xf>
    <xf numFmtId="3" fontId="25" fillId="0" borderId="24" xfId="78" applyNumberFormat="1" applyFont="1" applyBorder="1" applyAlignment="1">
      <alignment horizontal="center" vertical="center" wrapText="1"/>
    </xf>
    <xf numFmtId="3" fontId="25" fillId="0" borderId="24" xfId="78" applyNumberFormat="1" applyFont="1" applyBorder="1" applyAlignment="1">
      <alignment horizontal="left" vertical="center" wrapText="1"/>
    </xf>
    <xf numFmtId="3" fontId="28" fillId="0" borderId="24" xfId="78" applyNumberFormat="1" applyFont="1" applyBorder="1"/>
    <xf numFmtId="3" fontId="25" fillId="0" borderId="24" xfId="78" applyNumberFormat="1" applyFont="1" applyBorder="1"/>
    <xf numFmtId="3" fontId="37" fillId="0" borderId="24" xfId="78" applyNumberFormat="1" applyFont="1" applyBorder="1"/>
    <xf numFmtId="3" fontId="28" fillId="0" borderId="24" xfId="78" applyNumberFormat="1" applyFont="1" applyBorder="1" applyAlignment="1">
      <alignment horizontal="center" vertical="center" wrapText="1"/>
    </xf>
    <xf numFmtId="3" fontId="28" fillId="0" borderId="24" xfId="78" applyNumberFormat="1" applyFont="1" applyBorder="1" applyAlignment="1">
      <alignment horizontal="left" vertical="center" wrapText="1"/>
    </xf>
    <xf numFmtId="3" fontId="35" fillId="0" borderId="24" xfId="78" applyNumberFormat="1" applyFont="1" applyBorder="1" applyAlignment="1">
      <alignment vertical="center"/>
    </xf>
    <xf numFmtId="3" fontId="35" fillId="0" borderId="24" xfId="78" applyNumberFormat="1" applyFont="1" applyBorder="1"/>
    <xf numFmtId="3" fontId="28" fillId="0" borderId="24" xfId="78" applyNumberFormat="1" applyFont="1" applyFill="1" applyBorder="1" applyAlignment="1">
      <alignment horizontal="left" vertical="center" wrapText="1"/>
    </xf>
    <xf numFmtId="3" fontId="28" fillId="0" borderId="24" xfId="78" applyNumberFormat="1" applyFont="1" applyBorder="1" applyAlignment="1">
      <alignment vertical="center"/>
    </xf>
    <xf numFmtId="3" fontId="30" fillId="0" borderId="24" xfId="78" applyNumberFormat="1" applyFont="1" applyBorder="1"/>
    <xf numFmtId="0" fontId="28" fillId="0" borderId="24" xfId="78" applyFont="1" applyBorder="1"/>
    <xf numFmtId="3" fontId="25" fillId="0" borderId="24" xfId="78" applyNumberFormat="1" applyFont="1" applyFill="1" applyBorder="1" applyAlignment="1">
      <alignment horizontal="left" vertical="center" wrapText="1"/>
    </xf>
    <xf numFmtId="49" fontId="25" fillId="0" borderId="24" xfId="78" applyNumberFormat="1" applyFont="1" applyBorder="1" applyAlignment="1">
      <alignment horizontal="center" vertical="center" wrapText="1"/>
    </xf>
    <xf numFmtId="49" fontId="28" fillId="0" borderId="24" xfId="78" applyNumberFormat="1" applyFont="1" applyBorder="1" applyAlignment="1">
      <alignment horizontal="center" vertical="center" wrapText="1"/>
    </xf>
    <xf numFmtId="3" fontId="30" fillId="0" borderId="24" xfId="78" applyNumberFormat="1" applyFont="1" applyBorder="1" applyAlignment="1">
      <alignment vertical="center"/>
    </xf>
    <xf numFmtId="0" fontId="137" fillId="0" borderId="24" xfId="78" applyFont="1" applyBorder="1"/>
    <xf numFmtId="3" fontId="25" fillId="0" borderId="24" xfId="78" applyNumberFormat="1" applyFont="1" applyBorder="1" applyAlignment="1">
      <alignment horizontal="center" wrapText="1"/>
    </xf>
    <xf numFmtId="3" fontId="30" fillId="0" borderId="24" xfId="78" applyNumberFormat="1" applyFont="1" applyFill="1" applyBorder="1" applyAlignment="1">
      <alignment horizontal="left" vertical="center" wrapText="1"/>
    </xf>
    <xf numFmtId="3" fontId="28" fillId="0" borderId="24" xfId="78" applyNumberFormat="1" applyFont="1" applyFill="1" applyBorder="1"/>
    <xf numFmtId="49" fontId="35" fillId="0" borderId="24" xfId="78" applyNumberFormat="1" applyFont="1" applyBorder="1" applyAlignment="1">
      <alignment horizontal="center" vertical="center" wrapText="1"/>
    </xf>
    <xf numFmtId="3" fontId="35" fillId="0" borderId="24" xfId="78" applyNumberFormat="1" applyFont="1" applyFill="1" applyBorder="1" applyAlignment="1">
      <alignment horizontal="left" vertical="center" wrapText="1"/>
    </xf>
    <xf numFmtId="0" fontId="28" fillId="0" borderId="24" xfId="78" applyFont="1" applyBorder="1" applyAlignment="1">
      <alignment vertical="center" wrapText="1"/>
    </xf>
    <xf numFmtId="0" fontId="35" fillId="0" borderId="24" xfId="78" applyFont="1" applyBorder="1" applyAlignment="1">
      <alignment vertical="center" wrapText="1"/>
    </xf>
    <xf numFmtId="0" fontId="28" fillId="0" borderId="24" xfId="78" applyFont="1" applyBorder="1" applyAlignment="1">
      <alignment horizontal="center" wrapText="1"/>
    </xf>
    <xf numFmtId="49" fontId="58" fillId="0" borderId="24" xfId="78" applyNumberFormat="1" applyFont="1" applyBorder="1" applyAlignment="1">
      <alignment horizontal="center" vertical="center" wrapText="1"/>
    </xf>
    <xf numFmtId="0" fontId="139" fillId="0" borderId="24" xfId="78" applyFont="1" applyBorder="1" applyAlignment="1">
      <alignment vertical="center" wrapText="1"/>
    </xf>
    <xf numFmtId="0" fontId="28" fillId="0" borderId="24" xfId="0" applyFont="1" applyBorder="1" applyAlignment="1">
      <alignment horizontal="left" vertical="center" wrapText="1"/>
    </xf>
    <xf numFmtId="0" fontId="35" fillId="0" borderId="24" xfId="0" applyFont="1" applyBorder="1" applyAlignment="1">
      <alignment horizontal="left" vertical="center" wrapText="1"/>
    </xf>
    <xf numFmtId="3" fontId="25" fillId="0" borderId="24" xfId="78" applyNumberFormat="1" applyFont="1" applyFill="1" applyBorder="1"/>
    <xf numFmtId="3" fontId="60" fillId="0" borderId="24" xfId="78" applyNumberFormat="1" applyFont="1" applyBorder="1"/>
    <xf numFmtId="0" fontId="60" fillId="0" borderId="24" xfId="78" applyFont="1" applyBorder="1"/>
    <xf numFmtId="3" fontId="28" fillId="0" borderId="24" xfId="78" applyNumberFormat="1" applyFont="1" applyFill="1" applyBorder="1" applyAlignment="1">
      <alignment vertical="center"/>
    </xf>
    <xf numFmtId="3" fontId="86" fillId="0" borderId="24" xfId="78" applyNumberFormat="1" applyFont="1" applyBorder="1" applyAlignment="1">
      <alignment vertical="center"/>
    </xf>
    <xf numFmtId="3" fontId="87" fillId="0" borderId="24" xfId="78" applyNumberFormat="1" applyFont="1" applyBorder="1" applyAlignment="1">
      <alignment vertical="center"/>
    </xf>
    <xf numFmtId="3" fontId="28" fillId="0" borderId="24" xfId="0" applyNumberFormat="1" applyFont="1" applyFill="1" applyBorder="1" applyAlignment="1">
      <alignment wrapText="1"/>
    </xf>
    <xf numFmtId="3" fontId="25" fillId="0" borderId="24" xfId="78" applyNumberFormat="1" applyFont="1" applyBorder="1" applyAlignment="1">
      <alignment vertical="center"/>
    </xf>
    <xf numFmtId="3" fontId="28" fillId="0" borderId="24" xfId="0" applyNumberFormat="1" applyFont="1" applyFill="1" applyBorder="1" applyAlignment="1">
      <alignment vertical="center" wrapText="1"/>
    </xf>
    <xf numFmtId="0" fontId="61" fillId="0" borderId="24" xfId="78" applyFont="1" applyBorder="1"/>
    <xf numFmtId="3" fontId="61" fillId="0" borderId="24" xfId="78" applyNumberFormat="1" applyFont="1" applyBorder="1"/>
    <xf numFmtId="0" fontId="30" fillId="0" borderId="24" xfId="78" applyFont="1" applyBorder="1"/>
    <xf numFmtId="0" fontId="30" fillId="0" borderId="24" xfId="78" applyFont="1" applyBorder="1" applyAlignment="1">
      <alignment vertical="center"/>
    </xf>
    <xf numFmtId="3" fontId="35" fillId="0" borderId="24" xfId="78" applyNumberFormat="1" applyFont="1" applyBorder="1" applyAlignment="1">
      <alignment horizontal="left" vertical="center" wrapText="1"/>
    </xf>
    <xf numFmtId="3" fontId="28" fillId="0" borderId="25" xfId="78" applyNumberFormat="1" applyFont="1" applyBorder="1" applyAlignment="1">
      <alignment horizontal="center" vertical="center" wrapText="1"/>
    </xf>
    <xf numFmtId="3" fontId="28" fillId="0" borderId="25" xfId="78" applyNumberFormat="1" applyFont="1" applyFill="1" applyBorder="1" applyAlignment="1">
      <alignment horizontal="left" vertical="center" wrapText="1"/>
    </xf>
    <xf numFmtId="3" fontId="28" fillId="0" borderId="25" xfId="78" applyNumberFormat="1" applyFont="1" applyBorder="1" applyAlignment="1">
      <alignment vertical="center"/>
    </xf>
    <xf numFmtId="3" fontId="35" fillId="0" borderId="25" xfId="78" applyNumberFormat="1" applyFont="1" applyBorder="1"/>
    <xf numFmtId="3" fontId="30" fillId="0" borderId="25" xfId="78" applyNumberFormat="1" applyFont="1" applyBorder="1"/>
    <xf numFmtId="3" fontId="28" fillId="0" borderId="25" xfId="78" applyNumberFormat="1" applyFont="1" applyBorder="1"/>
    <xf numFmtId="0" fontId="28" fillId="0" borderId="25" xfId="78" applyFont="1" applyBorder="1"/>
    <xf numFmtId="49" fontId="25" fillId="0" borderId="45" xfId="78" applyNumberFormat="1" applyFont="1" applyBorder="1" applyAlignment="1">
      <alignment horizontal="center" vertical="center" wrapText="1"/>
    </xf>
    <xf numFmtId="3" fontId="28" fillId="0" borderId="45" xfId="78" applyNumberFormat="1" applyFont="1" applyFill="1" applyBorder="1" applyAlignment="1">
      <alignment horizontal="left" vertical="center" wrapText="1"/>
    </xf>
    <xf numFmtId="3" fontId="28" fillId="0" borderId="45" xfId="78" applyNumberFormat="1" applyFont="1" applyBorder="1"/>
    <xf numFmtId="3" fontId="25" fillId="0" borderId="45" xfId="78" applyNumberFormat="1" applyFont="1" applyBorder="1"/>
    <xf numFmtId="3" fontId="37" fillId="0" borderId="45" xfId="78" applyNumberFormat="1" applyFont="1" applyBorder="1"/>
    <xf numFmtId="0" fontId="37" fillId="0" borderId="45" xfId="78" applyFont="1" applyBorder="1"/>
    <xf numFmtId="3" fontId="25" fillId="0" borderId="111" xfId="78" applyNumberFormat="1" applyFont="1" applyBorder="1" applyAlignment="1">
      <alignment horizontal="center" vertical="center" wrapText="1"/>
    </xf>
    <xf numFmtId="3" fontId="25" fillId="0" borderId="32" xfId="78" applyNumberFormat="1" applyFont="1" applyFill="1" applyBorder="1" applyAlignment="1">
      <alignment horizontal="left" vertical="center" wrapText="1"/>
    </xf>
    <xf numFmtId="3" fontId="25" fillId="0" borderId="32" xfId="78" applyNumberFormat="1" applyFont="1" applyBorder="1"/>
    <xf numFmtId="3" fontId="30" fillId="0" borderId="32" xfId="78" applyNumberFormat="1" applyFont="1" applyBorder="1"/>
    <xf numFmtId="0" fontId="35" fillId="0" borderId="32" xfId="78" applyFont="1" applyBorder="1"/>
    <xf numFmtId="0" fontId="28" fillId="0" borderId="56" xfId="78" applyFont="1" applyBorder="1"/>
    <xf numFmtId="49" fontId="28" fillId="0" borderId="25" xfId="78" applyNumberFormat="1" applyFont="1" applyBorder="1" applyAlignment="1">
      <alignment horizontal="center" vertical="center" wrapText="1"/>
    </xf>
    <xf numFmtId="3" fontId="28" fillId="0" borderId="25" xfId="78" applyNumberFormat="1" applyFont="1" applyBorder="1" applyAlignment="1">
      <alignment horizontal="left" vertical="center" wrapText="1"/>
    </xf>
    <xf numFmtId="0" fontId="137" fillId="0" borderId="25" xfId="78" applyFont="1" applyBorder="1"/>
    <xf numFmtId="0" fontId="37" fillId="0" borderId="25" xfId="78" applyFont="1" applyBorder="1"/>
    <xf numFmtId="3" fontId="30" fillId="0" borderId="45" xfId="78" applyNumberFormat="1" applyFont="1" applyBorder="1" applyAlignment="1">
      <alignment horizontal="left" vertical="center" wrapText="1"/>
    </xf>
    <xf numFmtId="49" fontId="25" fillId="0" borderId="111" xfId="78" applyNumberFormat="1" applyFont="1" applyBorder="1" applyAlignment="1">
      <alignment horizontal="center" vertical="center" wrapText="1"/>
    </xf>
    <xf numFmtId="3" fontId="25" fillId="0" borderId="32" xfId="78" applyNumberFormat="1" applyFont="1" applyBorder="1" applyAlignment="1">
      <alignment horizontal="left" vertical="center" wrapText="1"/>
    </xf>
    <xf numFmtId="0" fontId="37" fillId="0" borderId="32" xfId="78" applyFont="1" applyBorder="1"/>
    <xf numFmtId="0" fontId="37" fillId="0" borderId="56" xfId="78" applyFont="1" applyBorder="1"/>
    <xf numFmtId="49" fontId="35" fillId="0" borderId="25" xfId="78" applyNumberFormat="1" applyFont="1" applyBorder="1" applyAlignment="1">
      <alignment horizontal="center" vertical="center" wrapText="1"/>
    </xf>
    <xf numFmtId="0" fontId="35" fillId="0" borderId="25" xfId="0" applyFont="1" applyBorder="1" applyAlignment="1">
      <alignment horizontal="left" vertical="center" wrapText="1"/>
    </xf>
    <xf numFmtId="3" fontId="35" fillId="0" borderId="25" xfId="78" applyNumberFormat="1" applyFont="1" applyBorder="1" applyAlignment="1">
      <alignment vertical="center"/>
    </xf>
    <xf numFmtId="3" fontId="30" fillId="0" borderId="25" xfId="78" applyNumberFormat="1" applyFont="1" applyBorder="1" applyAlignment="1">
      <alignment vertical="center"/>
    </xf>
    <xf numFmtId="3" fontId="28" fillId="0" borderId="45" xfId="78" applyNumberFormat="1" applyFont="1" applyBorder="1" applyAlignment="1">
      <alignment horizontal="center" vertical="center" wrapText="1"/>
    </xf>
    <xf numFmtId="3" fontId="28" fillId="0" borderId="45" xfId="78" applyNumberFormat="1" applyFont="1" applyFill="1" applyBorder="1"/>
    <xf numFmtId="0" fontId="28" fillId="0" borderId="45" xfId="78" applyFont="1" applyBorder="1"/>
    <xf numFmtId="3" fontId="28" fillId="0" borderId="111" xfId="78" applyNumberFormat="1" applyFont="1" applyBorder="1" applyAlignment="1">
      <alignment horizontal="center" vertical="center" wrapText="1"/>
    </xf>
    <xf numFmtId="3" fontId="25" fillId="0" borderId="32" xfId="78" applyNumberFormat="1" applyFont="1" applyFill="1" applyBorder="1"/>
    <xf numFmtId="0" fontId="60" fillId="0" borderId="32" xfId="78" applyFont="1" applyBorder="1"/>
    <xf numFmtId="0" fontId="60" fillId="0" borderId="56" xfId="78" applyFont="1" applyBorder="1"/>
    <xf numFmtId="0" fontId="28" fillId="0" borderId="25" xfId="78" applyFont="1" applyBorder="1" applyAlignment="1">
      <alignment vertical="center" wrapText="1"/>
    </xf>
    <xf numFmtId="3" fontId="28" fillId="0" borderId="25" xfId="78" applyNumberFormat="1" applyFont="1" applyFill="1" applyBorder="1" applyAlignment="1">
      <alignment vertical="center"/>
    </xf>
    <xf numFmtId="3" fontId="25" fillId="0" borderId="25" xfId="78" applyNumberFormat="1" applyFont="1" applyBorder="1" applyAlignment="1">
      <alignment vertical="center"/>
    </xf>
    <xf numFmtId="0" fontId="60" fillId="0" borderId="25" xfId="78" applyFont="1" applyBorder="1"/>
    <xf numFmtId="3" fontId="25" fillId="0" borderId="45" xfId="78" applyNumberFormat="1" applyFont="1" applyFill="1" applyBorder="1" applyAlignment="1">
      <alignment horizontal="left" vertical="center" wrapText="1"/>
    </xf>
    <xf numFmtId="3" fontId="25" fillId="0" borderId="45" xfId="78" applyNumberFormat="1" applyFont="1" applyFill="1" applyBorder="1"/>
    <xf numFmtId="0" fontId="60" fillId="0" borderId="45" xfId="78" applyFont="1" applyBorder="1"/>
    <xf numFmtId="49" fontId="28" fillId="0" borderId="111" xfId="78" applyNumberFormat="1" applyFont="1" applyBorder="1" applyAlignment="1">
      <alignment horizontal="center" vertical="center" wrapText="1"/>
    </xf>
    <xf numFmtId="3" fontId="28" fillId="0" borderId="32" xfId="78" applyNumberFormat="1" applyFont="1" applyBorder="1"/>
    <xf numFmtId="49" fontId="25" fillId="0" borderId="25" xfId="78" applyNumberFormat="1" applyFont="1" applyBorder="1" applyAlignment="1">
      <alignment horizontal="center" vertical="center" wrapText="1"/>
    </xf>
    <xf numFmtId="3" fontId="28" fillId="0" borderId="25" xfId="78" applyNumberFormat="1" applyFont="1" applyFill="1" applyBorder="1"/>
    <xf numFmtId="3" fontId="25" fillId="0" borderId="25" xfId="78" applyNumberFormat="1" applyFont="1" applyBorder="1"/>
    <xf numFmtId="0" fontId="35" fillId="0" borderId="25" xfId="78" applyFont="1" applyBorder="1"/>
    <xf numFmtId="3" fontId="25" fillId="0" borderId="45" xfId="78" applyNumberFormat="1" applyFont="1" applyBorder="1" applyAlignment="1">
      <alignment horizontal="left" vertical="center" wrapText="1"/>
    </xf>
    <xf numFmtId="0" fontId="35" fillId="0" borderId="45" xfId="78" applyFont="1" applyBorder="1"/>
    <xf numFmtId="0" fontId="30" fillId="0" borderId="32" xfId="78" applyFont="1" applyBorder="1"/>
    <xf numFmtId="0" fontId="30" fillId="0" borderId="56" xfId="78" applyFont="1" applyBorder="1"/>
    <xf numFmtId="49" fontId="28" fillId="0" borderId="45" xfId="78" applyNumberFormat="1" applyFont="1" applyBorder="1" applyAlignment="1">
      <alignment horizontal="center" vertical="center" wrapText="1"/>
    </xf>
    <xf numFmtId="3" fontId="35" fillId="0" borderId="45" xfId="78" applyNumberFormat="1" applyFont="1" applyBorder="1"/>
    <xf numFmtId="3" fontId="28" fillId="0" borderId="32" xfId="78" applyNumberFormat="1" applyFont="1" applyBorder="1" applyAlignment="1">
      <alignment horizontal="left" vertical="center" wrapText="1"/>
    </xf>
    <xf numFmtId="0" fontId="35" fillId="0" borderId="56" xfId="78" applyFont="1" applyBorder="1"/>
    <xf numFmtId="3" fontId="37" fillId="0" borderId="45" xfId="78" applyNumberFormat="1" applyFont="1" applyFill="1" applyBorder="1" applyAlignment="1">
      <alignment horizontal="left" vertical="center" wrapText="1"/>
    </xf>
    <xf numFmtId="0" fontId="31" fillId="0" borderId="25" xfId="0" applyFont="1" applyBorder="1" applyAlignment="1">
      <alignment vertical="center" wrapText="1"/>
    </xf>
    <xf numFmtId="0" fontId="61" fillId="0" borderId="25" xfId="78" applyFont="1" applyBorder="1"/>
    <xf numFmtId="3" fontId="61" fillId="0" borderId="25" xfId="78" applyNumberFormat="1" applyFont="1" applyBorder="1"/>
    <xf numFmtId="3" fontId="25" fillId="0" borderId="25" xfId="78" applyNumberFormat="1" applyFont="1" applyBorder="1" applyAlignment="1">
      <alignment horizontal="left" vertical="center" wrapText="1"/>
    </xf>
    <xf numFmtId="0" fontId="30" fillId="0" borderId="25" xfId="78" applyFont="1" applyBorder="1"/>
    <xf numFmtId="3" fontId="30" fillId="0" borderId="45" xfId="78" applyNumberFormat="1" applyFont="1" applyBorder="1"/>
    <xf numFmtId="0" fontId="30" fillId="0" borderId="45" xfId="78" applyFont="1" applyBorder="1"/>
    <xf numFmtId="3" fontId="30" fillId="0" borderId="32" xfId="78" applyNumberFormat="1" applyFont="1" applyBorder="1" applyAlignment="1">
      <alignment vertical="center"/>
    </xf>
    <xf numFmtId="3" fontId="28" fillId="0" borderId="45" xfId="78" applyNumberFormat="1" applyFont="1" applyBorder="1" applyAlignment="1">
      <alignment horizontal="left" vertical="center" wrapText="1"/>
    </xf>
    <xf numFmtId="3" fontId="25" fillId="0" borderId="32" xfId="78" applyNumberFormat="1" applyFont="1" applyBorder="1" applyAlignment="1">
      <alignment vertical="center"/>
    </xf>
    <xf numFmtId="3" fontId="122" fillId="0" borderId="25" xfId="78" applyNumberFormat="1" applyFont="1" applyBorder="1" applyAlignment="1">
      <alignment horizontal="left" vertical="center" wrapText="1"/>
    </xf>
    <xf numFmtId="3" fontId="122" fillId="0" borderId="25" xfId="78" applyNumberFormat="1" applyFont="1" applyBorder="1"/>
    <xf numFmtId="0" fontId="30" fillId="0" borderId="25" xfId="78" applyFont="1" applyBorder="1" applyAlignment="1">
      <alignment vertical="center"/>
    </xf>
    <xf numFmtId="0" fontId="30" fillId="0" borderId="32" xfId="78" applyFont="1" applyBorder="1" applyAlignment="1">
      <alignment vertical="center"/>
    </xf>
    <xf numFmtId="0" fontId="30" fillId="0" borderId="56" xfId="78" applyFont="1" applyBorder="1" applyAlignment="1">
      <alignment vertical="center"/>
    </xf>
    <xf numFmtId="3" fontId="84" fillId="0" borderId="25" xfId="78" applyNumberFormat="1" applyFont="1" applyBorder="1"/>
    <xf numFmtId="3" fontId="28" fillId="0" borderId="26" xfId="78" applyNumberFormat="1" applyFont="1" applyBorder="1" applyAlignment="1">
      <alignment horizontal="left" vertical="center" wrapText="1"/>
    </xf>
    <xf numFmtId="3" fontId="28" fillId="0" borderId="26" xfId="78" applyNumberFormat="1" applyFont="1" applyBorder="1"/>
    <xf numFmtId="3" fontId="25" fillId="0" borderId="26" xfId="78" applyNumberFormat="1" applyFont="1" applyBorder="1"/>
    <xf numFmtId="3" fontId="35" fillId="0" borderId="26" xfId="78" applyNumberFormat="1" applyFont="1" applyBorder="1"/>
    <xf numFmtId="0" fontId="35" fillId="0" borderId="26" xfId="78" applyFont="1" applyBorder="1"/>
    <xf numFmtId="3" fontId="25" fillId="0" borderId="111" xfId="78" applyNumberFormat="1" applyFont="1" applyBorder="1" applyAlignment="1">
      <alignment horizontal="left" vertical="center" wrapText="1"/>
    </xf>
    <xf numFmtId="49" fontId="28" fillId="0" borderId="26" xfId="78" applyNumberFormat="1" applyFont="1" applyBorder="1" applyAlignment="1">
      <alignment horizontal="center" vertical="center" wrapText="1"/>
    </xf>
    <xf numFmtId="49" fontId="28" fillId="0" borderId="69" xfId="78" applyNumberFormat="1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/>
    </xf>
    <xf numFmtId="3" fontId="43" fillId="0" borderId="24" xfId="0" applyNumberFormat="1" applyFont="1" applyBorder="1"/>
    <xf numFmtId="3" fontId="42" fillId="0" borderId="24" xfId="0" applyNumberFormat="1" applyFont="1" applyBorder="1"/>
    <xf numFmtId="0" fontId="42" fillId="0" borderId="24" xfId="0" applyFont="1" applyBorder="1"/>
    <xf numFmtId="0" fontId="43" fillId="0" borderId="24" xfId="0" applyFont="1" applyBorder="1" applyAlignment="1">
      <alignment vertical="center" wrapText="1"/>
    </xf>
    <xf numFmtId="3" fontId="43" fillId="0" borderId="24" xfId="0" applyNumberFormat="1" applyFont="1" applyBorder="1" applyAlignment="1">
      <alignment vertical="center"/>
    </xf>
    <xf numFmtId="3" fontId="53" fillId="0" borderId="24" xfId="0" applyNumberFormat="1" applyFont="1" applyBorder="1" applyAlignment="1">
      <alignment vertical="center"/>
    </xf>
    <xf numFmtId="0" fontId="44" fillId="0" borderId="24" xfId="0" applyFont="1" applyBorder="1" applyAlignment="1">
      <alignment vertical="center" wrapText="1"/>
    </xf>
    <xf numFmtId="3" fontId="20" fillId="0" borderId="24" xfId="0" applyNumberFormat="1" applyFont="1" applyBorder="1" applyAlignment="1">
      <alignment vertical="center"/>
    </xf>
    <xf numFmtId="0" fontId="24" fillId="0" borderId="24" xfId="0" applyFont="1" applyBorder="1" applyAlignment="1">
      <alignment vertical="center" wrapText="1"/>
    </xf>
    <xf numFmtId="0" fontId="48" fillId="0" borderId="24" xfId="0" applyFont="1" applyFill="1" applyBorder="1" applyAlignment="1">
      <alignment wrapText="1"/>
    </xf>
    <xf numFmtId="3" fontId="42" fillId="0" borderId="24" xfId="0" applyNumberFormat="1" applyFont="1" applyBorder="1" applyAlignment="1">
      <alignment vertical="center"/>
    </xf>
    <xf numFmtId="0" fontId="20" fillId="0" borderId="24" xfId="0" applyFont="1" applyBorder="1" applyAlignment="1">
      <alignment vertical="center"/>
    </xf>
    <xf numFmtId="0" fontId="43" fillId="0" borderId="24" xfId="0" applyFont="1" applyBorder="1"/>
    <xf numFmtId="0" fontId="43" fillId="0" borderId="24" xfId="0" applyFont="1" applyBorder="1" applyAlignment="1">
      <alignment wrapText="1"/>
    </xf>
    <xf numFmtId="0" fontId="44" fillId="0" borderId="24" xfId="0" applyFont="1" applyBorder="1" applyAlignment="1">
      <alignment wrapText="1"/>
    </xf>
    <xf numFmtId="0" fontId="49" fillId="0" borderId="24" xfId="0" applyFont="1" applyBorder="1"/>
    <xf numFmtId="0" fontId="22" fillId="0" borderId="25" xfId="0" applyFont="1" applyBorder="1" applyAlignment="1">
      <alignment vertical="center" wrapText="1"/>
    </xf>
    <xf numFmtId="3" fontId="20" fillId="0" borderId="25" xfId="0" applyNumberFormat="1" applyFont="1" applyBorder="1" applyAlignment="1">
      <alignment vertical="center"/>
    </xf>
    <xf numFmtId="3" fontId="53" fillId="0" borderId="25" xfId="0" applyNumberFormat="1" applyFont="1" applyBorder="1" applyAlignment="1">
      <alignment vertical="center"/>
    </xf>
    <xf numFmtId="0" fontId="42" fillId="0" borderId="25" xfId="0" applyFont="1" applyBorder="1"/>
    <xf numFmtId="0" fontId="48" fillId="0" borderId="45" xfId="0" applyFont="1" applyFill="1" applyBorder="1" applyAlignment="1">
      <alignment wrapText="1"/>
    </xf>
    <xf numFmtId="3" fontId="44" fillId="0" borderId="45" xfId="0" applyNumberFormat="1" applyFont="1" applyBorder="1" applyAlignment="1">
      <alignment vertical="center"/>
    </xf>
    <xf numFmtId="3" fontId="41" fillId="0" borderId="45" xfId="0" applyNumberFormat="1" applyFont="1" applyBorder="1" applyAlignment="1">
      <alignment vertical="center"/>
    </xf>
    <xf numFmtId="0" fontId="53" fillId="0" borderId="45" xfId="0" applyFont="1" applyBorder="1" applyAlignment="1">
      <alignment vertical="center"/>
    </xf>
    <xf numFmtId="0" fontId="41" fillId="0" borderId="45" xfId="0" applyFont="1" applyBorder="1"/>
    <xf numFmtId="0" fontId="48" fillId="0" borderId="111" xfId="0" applyFont="1" applyFill="1" applyBorder="1" applyAlignment="1">
      <alignment wrapText="1"/>
    </xf>
    <xf numFmtId="3" fontId="44" fillId="0" borderId="32" xfId="0" applyNumberFormat="1" applyFont="1" applyBorder="1" applyAlignment="1">
      <alignment vertical="center"/>
    </xf>
    <xf numFmtId="3" fontId="53" fillId="0" borderId="32" xfId="0" applyNumberFormat="1" applyFont="1" applyBorder="1" applyAlignment="1">
      <alignment vertical="center"/>
    </xf>
    <xf numFmtId="0" fontId="41" fillId="0" borderId="32" xfId="0" applyFont="1" applyBorder="1"/>
    <xf numFmtId="0" fontId="41" fillId="0" borderId="56" xfId="0" applyFont="1" applyBorder="1"/>
    <xf numFmtId="0" fontId="43" fillId="0" borderId="25" xfId="0" applyFont="1" applyBorder="1" applyAlignment="1">
      <alignment horizontal="left" vertical="center" wrapText="1"/>
    </xf>
    <xf numFmtId="3" fontId="43" fillId="0" borderId="25" xfId="0" applyNumberFormat="1" applyFont="1" applyBorder="1" applyAlignment="1">
      <alignment horizontal="center" vertical="center"/>
    </xf>
    <xf numFmtId="3" fontId="43" fillId="0" borderId="25" xfId="0" applyNumberFormat="1" applyFont="1" applyBorder="1" applyAlignment="1">
      <alignment horizontal="right" vertical="center"/>
    </xf>
    <xf numFmtId="3" fontId="53" fillId="0" borderId="25" xfId="0" applyNumberFormat="1" applyFont="1" applyBorder="1" applyAlignment="1">
      <alignment horizontal="right" vertical="center"/>
    </xf>
    <xf numFmtId="0" fontId="43" fillId="0" borderId="45" xfId="0" applyFont="1" applyBorder="1" applyAlignment="1">
      <alignment wrapText="1"/>
    </xf>
    <xf numFmtId="3" fontId="20" fillId="0" borderId="45" xfId="0" applyNumberFormat="1" applyFont="1" applyBorder="1" applyAlignment="1">
      <alignment vertical="center"/>
    </xf>
    <xf numFmtId="0" fontId="20" fillId="0" borderId="45" xfId="0" applyFont="1" applyBorder="1" applyAlignment="1">
      <alignment vertical="center"/>
    </xf>
    <xf numFmtId="0" fontId="42" fillId="0" borderId="45" xfId="0" applyFont="1" applyBorder="1"/>
    <xf numFmtId="0" fontId="44" fillId="0" borderId="32" xfId="0" applyFont="1" applyBorder="1" applyAlignment="1">
      <alignment wrapText="1"/>
    </xf>
    <xf numFmtId="0" fontId="20" fillId="0" borderId="25" xfId="0" applyFont="1" applyBorder="1" applyAlignment="1">
      <alignment horizontal="center" vertical="center"/>
    </xf>
    <xf numFmtId="0" fontId="43" fillId="0" borderId="25" xfId="0" applyFont="1" applyBorder="1" applyAlignment="1">
      <alignment vertical="center" wrapText="1"/>
    </xf>
    <xf numFmtId="0" fontId="44" fillId="0" borderId="111" xfId="0" applyFont="1" applyBorder="1"/>
    <xf numFmtId="0" fontId="44" fillId="0" borderId="32" xfId="0" applyFont="1" applyBorder="1"/>
    <xf numFmtId="3" fontId="89" fillId="0" borderId="123" xfId="0" applyNumberFormat="1" applyFont="1" applyBorder="1" applyAlignment="1">
      <alignment horizontal="center"/>
    </xf>
    <xf numFmtId="3" fontId="93" fillId="0" borderId="87" xfId="0" applyNumberFormat="1" applyFont="1" applyBorder="1" applyAlignment="1">
      <alignment horizontal="center" vertical="center" wrapText="1"/>
    </xf>
    <xf numFmtId="0" fontId="89" fillId="0" borderId="24" xfId="0" applyFont="1" applyBorder="1"/>
    <xf numFmtId="3" fontId="57" fillId="0" borderId="32" xfId="0" applyNumberFormat="1" applyFont="1" applyBorder="1"/>
    <xf numFmtId="0" fontId="89" fillId="0" borderId="56" xfId="0" applyFont="1" applyBorder="1"/>
    <xf numFmtId="3" fontId="91" fillId="0" borderId="15" xfId="0" applyNumberFormat="1" applyFont="1" applyBorder="1" applyAlignment="1">
      <alignment horizontal="center" vertical="center" wrapText="1"/>
    </xf>
    <xf numFmtId="3" fontId="91" fillId="0" borderId="52" xfId="0" applyNumberFormat="1" applyFont="1" applyBorder="1" applyAlignment="1">
      <alignment horizontal="center" vertical="center" wrapText="1"/>
    </xf>
    <xf numFmtId="0" fontId="64" fillId="0" borderId="25" xfId="0" applyFont="1" applyBorder="1" applyAlignment="1">
      <alignment vertical="center"/>
    </xf>
    <xf numFmtId="1" fontId="58" fillId="0" borderId="24" xfId="0" applyNumberFormat="1" applyFont="1" applyBorder="1" applyAlignment="1">
      <alignment horizontal="center" vertical="center"/>
    </xf>
    <xf numFmtId="0" fontId="58" fillId="0" borderId="24" xfId="0" applyFont="1" applyBorder="1" applyAlignment="1">
      <alignment horizontal="left" vertical="center" wrapText="1"/>
    </xf>
    <xf numFmtId="3" fontId="82" fillId="0" borderId="24" xfId="0" applyNumberFormat="1" applyFont="1" applyBorder="1" applyAlignment="1">
      <alignment horizontal="center" vertical="center" wrapText="1"/>
    </xf>
    <xf numFmtId="0" fontId="131" fillId="0" borderId="24" xfId="0" applyFont="1" applyBorder="1"/>
    <xf numFmtId="0" fontId="58" fillId="0" borderId="24" xfId="0" applyFont="1" applyBorder="1" applyAlignment="1">
      <alignment horizontal="left" vertical="center"/>
    </xf>
    <xf numFmtId="3" fontId="58" fillId="0" borderId="24" xfId="0" applyNumberFormat="1" applyFont="1" applyBorder="1" applyAlignment="1">
      <alignment horizontal="left" vertical="center" wrapText="1"/>
    </xf>
    <xf numFmtId="3" fontId="59" fillId="0" borderId="24" xfId="0" applyNumberFormat="1" applyFont="1" applyBorder="1" applyAlignment="1">
      <alignment horizontal="center" vertical="center" wrapText="1"/>
    </xf>
    <xf numFmtId="3" fontId="58" fillId="0" borderId="24" xfId="0" applyNumberFormat="1" applyFont="1" applyBorder="1" applyAlignment="1">
      <alignment horizontal="right" vertical="center" wrapText="1"/>
    </xf>
    <xf numFmtId="3" fontId="58" fillId="0" borderId="24" xfId="0" applyNumberFormat="1" applyFont="1" applyBorder="1" applyAlignment="1">
      <alignment vertical="center"/>
    </xf>
    <xf numFmtId="0" fontId="119" fillId="0" borderId="24" xfId="0" applyFont="1" applyBorder="1"/>
    <xf numFmtId="0" fontId="58" fillId="0" borderId="24" xfId="0" applyFont="1" applyFill="1" applyBorder="1"/>
    <xf numFmtId="3" fontId="58" fillId="0" borderId="24" xfId="0" applyNumberFormat="1" applyFont="1" applyFill="1" applyBorder="1"/>
    <xf numFmtId="0" fontId="57" fillId="0" borderId="24" xfId="0" applyFont="1" applyFill="1" applyBorder="1"/>
    <xf numFmtId="0" fontId="111" fillId="0" borderId="24" xfId="0" applyFont="1" applyBorder="1"/>
    <xf numFmtId="3" fontId="58" fillId="0" borderId="24" xfId="0" applyNumberFormat="1" applyFont="1" applyBorder="1" applyAlignment="1">
      <alignment horizontal="right" vertical="center"/>
    </xf>
    <xf numFmtId="0" fontId="58" fillId="0" borderId="24" xfId="0" applyFont="1" applyBorder="1" applyAlignment="1">
      <alignment wrapText="1"/>
    </xf>
    <xf numFmtId="3" fontId="151" fillId="0" borderId="24" xfId="0" applyNumberFormat="1" applyFont="1" applyBorder="1"/>
    <xf numFmtId="3" fontId="145" fillId="0" borderId="24" xfId="0" applyNumberFormat="1" applyFont="1" applyBorder="1"/>
    <xf numFmtId="0" fontId="58" fillId="0" borderId="24" xfId="0" applyFont="1" applyBorder="1" applyAlignment="1">
      <alignment vertical="center" wrapText="1"/>
    </xf>
    <xf numFmtId="3" fontId="59" fillId="0" borderId="87" xfId="0" applyNumberFormat="1" applyFont="1" applyBorder="1" applyAlignment="1">
      <alignment horizontal="center" vertical="center" wrapText="1"/>
    </xf>
    <xf numFmtId="3" fontId="58" fillId="0" borderId="87" xfId="0" applyNumberFormat="1" applyFont="1" applyBorder="1"/>
    <xf numFmtId="3" fontId="58" fillId="0" borderId="87" xfId="0" applyNumberFormat="1" applyFont="1" applyFill="1" applyBorder="1"/>
    <xf numFmtId="3" fontId="58" fillId="0" borderId="87" xfId="0" applyNumberFormat="1" applyFont="1" applyBorder="1" applyAlignment="1">
      <alignment horizontal="right" vertical="center"/>
    </xf>
    <xf numFmtId="3" fontId="58" fillId="0" borderId="87" xfId="0" applyNumberFormat="1" applyFont="1" applyBorder="1" applyAlignment="1">
      <alignment vertical="center"/>
    </xf>
    <xf numFmtId="3" fontId="58" fillId="0" borderId="87" xfId="0" applyNumberFormat="1" applyFont="1" applyBorder="1" applyAlignment="1">
      <alignment horizontal="right" vertical="center" wrapText="1"/>
    </xf>
    <xf numFmtId="3" fontId="69" fillId="0" borderId="124" xfId="0" applyNumberFormat="1" applyFont="1" applyBorder="1" applyAlignment="1">
      <alignment horizontal="center" vertical="center" wrapText="1"/>
    </xf>
    <xf numFmtId="3" fontId="93" fillId="0" borderId="117" xfId="0" applyNumberFormat="1" applyFont="1" applyBorder="1" applyAlignment="1">
      <alignment horizontal="center" vertical="center" wrapText="1"/>
    </xf>
    <xf numFmtId="3" fontId="59" fillId="0" borderId="117" xfId="0" applyNumberFormat="1" applyFont="1" applyBorder="1" applyAlignment="1">
      <alignment horizontal="center" vertical="center" wrapText="1"/>
    </xf>
    <xf numFmtId="3" fontId="58" fillId="0" borderId="117" xfId="0" applyNumberFormat="1" applyFont="1" applyBorder="1"/>
    <xf numFmtId="3" fontId="58" fillId="0" borderId="117" xfId="0" applyNumberFormat="1" applyFont="1" applyFill="1" applyBorder="1"/>
    <xf numFmtId="3" fontId="58" fillId="0" borderId="117" xfId="0" applyNumberFormat="1" applyFont="1" applyBorder="1" applyAlignment="1">
      <alignment horizontal="right" vertical="center"/>
    </xf>
    <xf numFmtId="3" fontId="58" fillId="0" borderId="117" xfId="0" applyNumberFormat="1" applyFont="1" applyBorder="1" applyAlignment="1">
      <alignment vertical="center"/>
    </xf>
    <xf numFmtId="3" fontId="58" fillId="0" borderId="117" xfId="0" applyNumberFormat="1" applyFont="1" applyBorder="1" applyAlignment="1">
      <alignment horizontal="right" vertical="center" wrapText="1"/>
    </xf>
    <xf numFmtId="3" fontId="82" fillId="0" borderId="87" xfId="0" applyNumberFormat="1" applyFont="1" applyBorder="1" applyAlignment="1">
      <alignment horizontal="center" vertical="center" wrapText="1"/>
    </xf>
    <xf numFmtId="3" fontId="145" fillId="0" borderId="87" xfId="0" applyNumberFormat="1" applyFont="1" applyBorder="1"/>
    <xf numFmtId="3" fontId="91" fillId="0" borderId="126" xfId="0" applyNumberFormat="1" applyFont="1" applyBorder="1" applyAlignment="1">
      <alignment horizontal="center" vertical="center" wrapText="1"/>
    </xf>
    <xf numFmtId="3" fontId="145" fillId="0" borderId="117" xfId="0" applyNumberFormat="1" applyFont="1" applyBorder="1"/>
    <xf numFmtId="3" fontId="58" fillId="0" borderId="87" xfId="0" applyNumberFormat="1" applyFont="1" applyBorder="1" applyAlignment="1">
      <alignment horizontal="center" vertical="center" wrapText="1"/>
    </xf>
    <xf numFmtId="0" fontId="64" fillId="0" borderId="77" xfId="0" applyFont="1" applyBorder="1" applyAlignment="1">
      <alignment horizontal="center" vertical="center" wrapText="1"/>
    </xf>
    <xf numFmtId="3" fontId="59" fillId="0" borderId="87" xfId="0" applyNumberFormat="1" applyFont="1" applyBorder="1" applyAlignment="1">
      <alignment vertical="center"/>
    </xf>
    <xf numFmtId="3" fontId="59" fillId="0" borderId="87" xfId="0" applyNumberFormat="1" applyFont="1" applyBorder="1"/>
    <xf numFmtId="3" fontId="59" fillId="0" borderId="87" xfId="0" applyNumberFormat="1" applyFont="1" applyFill="1" applyBorder="1"/>
    <xf numFmtId="3" fontId="59" fillId="0" borderId="87" xfId="0" applyNumberFormat="1" applyFont="1" applyBorder="1" applyAlignment="1">
      <alignment horizontal="right" vertical="center"/>
    </xf>
    <xf numFmtId="3" fontId="58" fillId="0" borderId="117" xfId="0" applyNumberFormat="1" applyFont="1" applyBorder="1" applyAlignment="1">
      <alignment horizontal="center" vertical="center" wrapText="1"/>
    </xf>
    <xf numFmtId="0" fontId="64" fillId="0" borderId="124" xfId="0" applyFont="1" applyBorder="1" applyAlignment="1">
      <alignment vertical="center" wrapText="1"/>
    </xf>
    <xf numFmtId="0" fontId="132" fillId="0" borderId="117" xfId="0" applyFont="1" applyBorder="1"/>
    <xf numFmtId="0" fontId="89" fillId="0" borderId="117" xfId="0" applyFont="1" applyBorder="1"/>
    <xf numFmtId="0" fontId="89" fillId="0" borderId="117" xfId="0" applyFont="1" applyBorder="1" applyAlignment="1">
      <alignment horizontal="center"/>
    </xf>
    <xf numFmtId="0" fontId="89" fillId="0" borderId="117" xfId="0" applyFont="1" applyFill="1" applyBorder="1"/>
    <xf numFmtId="0" fontId="89" fillId="0" borderId="110" xfId="0" applyFont="1" applyBorder="1"/>
    <xf numFmtId="3" fontId="69" fillId="0" borderId="129" xfId="0" applyNumberFormat="1" applyFont="1" applyBorder="1" applyAlignment="1">
      <alignment horizontal="center" vertical="center" wrapText="1"/>
    </xf>
    <xf numFmtId="3" fontId="82" fillId="0" borderId="130" xfId="0" applyNumberFormat="1" applyFont="1" applyBorder="1" applyAlignment="1">
      <alignment horizontal="center" vertical="center" wrapText="1"/>
    </xf>
    <xf numFmtId="3" fontId="58" fillId="0" borderId="130" xfId="0" applyNumberFormat="1" applyFont="1" applyBorder="1" applyAlignment="1">
      <alignment horizontal="right" vertical="center" wrapText="1"/>
    </xf>
    <xf numFmtId="3" fontId="58" fillId="0" borderId="130" xfId="0" applyNumberFormat="1" applyFont="1" applyBorder="1"/>
    <xf numFmtId="3" fontId="58" fillId="0" borderId="130" xfId="0" applyNumberFormat="1" applyFont="1" applyFill="1" applyBorder="1"/>
    <xf numFmtId="3" fontId="58" fillId="0" borderId="130" xfId="0" applyNumberFormat="1" applyFont="1" applyBorder="1" applyAlignment="1">
      <alignment horizontal="right" vertical="center"/>
    </xf>
    <xf numFmtId="3" fontId="58" fillId="0" borderId="130" xfId="0" applyNumberFormat="1" applyFont="1" applyBorder="1" applyAlignment="1">
      <alignment vertical="center"/>
    </xf>
    <xf numFmtId="3" fontId="93" fillId="0" borderId="130" xfId="0" applyNumberFormat="1" applyFont="1" applyBorder="1" applyAlignment="1">
      <alignment horizontal="center" vertical="center" wrapText="1"/>
    </xf>
    <xf numFmtId="3" fontId="145" fillId="0" borderId="130" xfId="0" applyNumberFormat="1" applyFont="1" applyBorder="1"/>
    <xf numFmtId="3" fontId="91" fillId="0" borderId="77" xfId="0" applyNumberFormat="1" applyFont="1" applyBorder="1" applyAlignment="1">
      <alignment horizontal="center" vertical="center" wrapText="1"/>
    </xf>
    <xf numFmtId="3" fontId="58" fillId="0" borderId="130" xfId="0" applyNumberFormat="1" applyFont="1" applyBorder="1" applyAlignment="1">
      <alignment horizontal="left" vertical="center" wrapText="1"/>
    </xf>
    <xf numFmtId="3" fontId="151" fillId="0" borderId="130" xfId="0" applyNumberFormat="1" applyFont="1" applyBorder="1"/>
    <xf numFmtId="3" fontId="59" fillId="0" borderId="130" xfId="0" applyNumberFormat="1" applyFont="1" applyBorder="1" applyAlignment="1">
      <alignment horizontal="center" vertical="center" wrapText="1"/>
    </xf>
    <xf numFmtId="3" fontId="59" fillId="0" borderId="82" xfId="0" applyNumberFormat="1" applyFont="1" applyBorder="1" applyAlignment="1">
      <alignment horizontal="center" vertical="center" wrapText="1"/>
    </xf>
    <xf numFmtId="3" fontId="59" fillId="0" borderId="131" xfId="0" applyNumberFormat="1" applyFont="1" applyBorder="1" applyAlignment="1">
      <alignment horizontal="center" vertical="center" wrapText="1"/>
    </xf>
    <xf numFmtId="3" fontId="59" fillId="0" borderId="25" xfId="0" applyNumberFormat="1" applyFont="1" applyBorder="1" applyAlignment="1">
      <alignment horizontal="center" vertical="center" wrapText="1"/>
    </xf>
    <xf numFmtId="3" fontId="59" fillId="0" borderId="45" xfId="0" applyNumberFormat="1" applyFont="1" applyBorder="1" applyAlignment="1">
      <alignment horizontal="center" vertical="center" wrapText="1"/>
    </xf>
    <xf numFmtId="1" fontId="58" fillId="0" borderId="25" xfId="0" applyNumberFormat="1" applyFont="1" applyBorder="1" applyAlignment="1">
      <alignment horizontal="center" vertical="center"/>
    </xf>
    <xf numFmtId="0" fontId="58" fillId="0" borderId="25" xfId="0" applyFont="1" applyBorder="1" applyAlignment="1">
      <alignment vertical="center" wrapText="1"/>
    </xf>
    <xf numFmtId="3" fontId="58" fillId="0" borderId="25" xfId="0" applyNumberFormat="1" applyFont="1" applyBorder="1" applyAlignment="1">
      <alignment vertical="center"/>
    </xf>
    <xf numFmtId="3" fontId="58" fillId="0" borderId="129" xfId="0" applyNumberFormat="1" applyFont="1" applyBorder="1" applyAlignment="1">
      <alignment vertical="center"/>
    </xf>
    <xf numFmtId="3" fontId="58" fillId="0" borderId="77" xfId="0" applyNumberFormat="1" applyFont="1" applyBorder="1" applyAlignment="1">
      <alignment vertical="center"/>
    </xf>
    <xf numFmtId="3" fontId="58" fillId="0" borderId="124" xfId="0" applyNumberFormat="1" applyFont="1" applyBorder="1" applyAlignment="1">
      <alignment vertical="center"/>
    </xf>
    <xf numFmtId="3" fontId="59" fillId="0" borderId="77" xfId="0" applyNumberFormat="1" applyFont="1" applyBorder="1" applyAlignment="1">
      <alignment vertical="center"/>
    </xf>
    <xf numFmtId="0" fontId="57" fillId="0" borderId="25" xfId="0" applyFont="1" applyBorder="1"/>
    <xf numFmtId="0" fontId="89" fillId="0" borderId="124" xfId="0" applyFont="1" applyBorder="1"/>
    <xf numFmtId="3" fontId="59" fillId="0" borderId="132" xfId="0" applyNumberFormat="1" applyFont="1" applyBorder="1"/>
    <xf numFmtId="3" fontId="59" fillId="0" borderId="27" xfId="0" applyNumberFormat="1" applyFont="1" applyBorder="1"/>
    <xf numFmtId="0" fontId="85" fillId="0" borderId="0" xfId="0" applyFont="1" applyBorder="1"/>
    <xf numFmtId="3" fontId="90" fillId="0" borderId="24" xfId="0" applyNumberFormat="1" applyFont="1" applyBorder="1"/>
    <xf numFmtId="3" fontId="58" fillId="0" borderId="41" xfId="0" applyNumberFormat="1" applyFont="1" applyBorder="1" applyAlignment="1">
      <alignment vertical="center"/>
    </xf>
    <xf numFmtId="3" fontId="58" fillId="0" borderId="133" xfId="0" applyNumberFormat="1" applyFont="1" applyBorder="1" applyAlignment="1">
      <alignment vertical="center"/>
    </xf>
    <xf numFmtId="3" fontId="25" fillId="0" borderId="25" xfId="0" applyNumberFormat="1" applyFont="1" applyBorder="1" applyAlignment="1">
      <alignment horizontal="center" vertical="center" wrapText="1"/>
    </xf>
    <xf numFmtId="0" fontId="43" fillId="0" borderId="24" xfId="0" applyFont="1" applyBorder="1" applyAlignment="1">
      <alignment horizontal="center"/>
    </xf>
    <xf numFmtId="0" fontId="20" fillId="0" borderId="24" xfId="0" applyFont="1" applyBorder="1"/>
    <xf numFmtId="0" fontId="44" fillId="0" borderId="24" xfId="0" applyFont="1" applyBorder="1" applyAlignment="1"/>
    <xf numFmtId="0" fontId="44" fillId="0" borderId="24" xfId="0" applyFont="1" applyBorder="1" applyAlignment="1">
      <alignment horizontal="center" wrapText="1"/>
    </xf>
    <xf numFmtId="0" fontId="43" fillId="0" borderId="24" xfId="0" applyFont="1" applyBorder="1" applyAlignment="1">
      <alignment horizontal="left"/>
    </xf>
    <xf numFmtId="0" fontId="43" fillId="0" borderId="24" xfId="0" applyFont="1" applyBorder="1" applyAlignment="1">
      <alignment horizontal="left" wrapText="1"/>
    </xf>
    <xf numFmtId="0" fontId="43" fillId="0" borderId="24" xfId="0" applyFont="1" applyFill="1" applyBorder="1" applyAlignment="1">
      <alignment horizontal="left" wrapText="1"/>
    </xf>
    <xf numFmtId="0" fontId="43" fillId="0" borderId="24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5" xfId="0" applyFont="1" applyBorder="1"/>
    <xf numFmtId="0" fontId="44" fillId="0" borderId="25" xfId="0" applyFont="1" applyBorder="1" applyAlignment="1">
      <alignment vertical="center" wrapText="1"/>
    </xf>
    <xf numFmtId="0" fontId="44" fillId="0" borderId="25" xfId="0" applyFont="1" applyBorder="1"/>
    <xf numFmtId="0" fontId="20" fillId="0" borderId="25" xfId="0" applyFont="1" applyBorder="1"/>
    <xf numFmtId="0" fontId="43" fillId="0" borderId="111" xfId="0" applyFont="1" applyBorder="1" applyAlignment="1">
      <alignment horizontal="center"/>
    </xf>
    <xf numFmtId="0" fontId="53" fillId="0" borderId="32" xfId="0" applyFont="1" applyBorder="1"/>
    <xf numFmtId="0" fontId="53" fillId="0" borderId="56" xfId="0" applyFont="1" applyBorder="1"/>
    <xf numFmtId="0" fontId="43" fillId="0" borderId="25" xfId="0" applyFont="1" applyBorder="1" applyAlignment="1">
      <alignment horizontal="left"/>
    </xf>
    <xf numFmtId="0" fontId="43" fillId="0" borderId="25" xfId="0" applyFont="1" applyFill="1" applyBorder="1" applyAlignment="1">
      <alignment horizontal="left" wrapText="1"/>
    </xf>
    <xf numFmtId="3" fontId="43" fillId="0" borderId="25" xfId="0" applyNumberFormat="1" applyFont="1" applyBorder="1"/>
    <xf numFmtId="0" fontId="43" fillId="0" borderId="45" xfId="0" applyFont="1" applyBorder="1"/>
    <xf numFmtId="0" fontId="44" fillId="0" borderId="45" xfId="0" applyFont="1" applyBorder="1" applyAlignment="1">
      <alignment wrapText="1"/>
    </xf>
    <xf numFmtId="0" fontId="20" fillId="0" borderId="45" xfId="0" applyFont="1" applyBorder="1"/>
    <xf numFmtId="0" fontId="44" fillId="0" borderId="32" xfId="0" applyFont="1" applyBorder="1" applyAlignment="1"/>
    <xf numFmtId="0" fontId="44" fillId="0" borderId="32" xfId="0" applyFont="1" applyBorder="1" applyAlignment="1">
      <alignment horizontal="center" wrapText="1"/>
    </xf>
    <xf numFmtId="0" fontId="20" fillId="0" borderId="32" xfId="0" applyFont="1" applyBorder="1"/>
    <xf numFmtId="0" fontId="20" fillId="0" borderId="56" xfId="0" applyFont="1" applyBorder="1"/>
    <xf numFmtId="0" fontId="43" fillId="0" borderId="42" xfId="0" applyFont="1" applyBorder="1" applyAlignment="1">
      <alignment horizontal="center"/>
    </xf>
    <xf numFmtId="0" fontId="43" fillId="0" borderId="25" xfId="0" applyFont="1" applyBorder="1" applyAlignment="1">
      <alignment wrapText="1"/>
    </xf>
    <xf numFmtId="0" fontId="43" fillId="0" borderId="32" xfId="0" applyFont="1" applyBorder="1" applyAlignment="1">
      <alignment wrapText="1"/>
    </xf>
    <xf numFmtId="3" fontId="25" fillId="0" borderId="24" xfId="0" applyNumberFormat="1" applyFont="1" applyBorder="1" applyAlignment="1">
      <alignment horizontal="center" vertical="center"/>
    </xf>
    <xf numFmtId="0" fontId="25" fillId="0" borderId="109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35" fillId="0" borderId="22" xfId="0" applyFont="1" applyBorder="1"/>
    <xf numFmtId="3" fontId="34" fillId="0" borderId="0" xfId="0" applyNumberFormat="1" applyFont="1" applyBorder="1" applyAlignment="1">
      <alignment horizontal="right"/>
    </xf>
    <xf numFmtId="0" fontId="64" fillId="0" borderId="0" xfId="0" applyFont="1" applyBorder="1" applyAlignment="1">
      <alignment horizontal="center"/>
    </xf>
    <xf numFmtId="0" fontId="28" fillId="0" borderId="12" xfId="0" applyFont="1" applyBorder="1" applyAlignment="1">
      <alignment horizontal="center" vertical="center" wrapText="1"/>
    </xf>
    <xf numFmtId="0" fontId="28" fillId="0" borderId="48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64" fillId="0" borderId="45" xfId="0" applyNumberFormat="1" applyFont="1" applyBorder="1" applyAlignment="1">
      <alignment horizontal="center" vertical="center"/>
    </xf>
    <xf numFmtId="3" fontId="25" fillId="0" borderId="24" xfId="0" applyNumberFormat="1" applyFont="1" applyBorder="1" applyAlignment="1">
      <alignment horizontal="center" vertical="center"/>
    </xf>
    <xf numFmtId="3" fontId="64" fillId="0" borderId="112" xfId="0" applyNumberFormat="1" applyFont="1" applyBorder="1" applyAlignment="1">
      <alignment horizontal="center" vertical="center"/>
    </xf>
    <xf numFmtId="3" fontId="64" fillId="0" borderId="14" xfId="0" applyNumberFormat="1" applyFont="1" applyBorder="1" applyAlignment="1">
      <alignment horizontal="center" vertical="center"/>
    </xf>
    <xf numFmtId="3" fontId="64" fillId="0" borderId="63" xfId="0" applyNumberFormat="1" applyFont="1" applyBorder="1" applyAlignment="1">
      <alignment horizontal="center" vertical="center"/>
    </xf>
    <xf numFmtId="0" fontId="69" fillId="0" borderId="0" xfId="0" applyFont="1" applyBorder="1" applyAlignment="1">
      <alignment horizontal="center"/>
    </xf>
    <xf numFmtId="0" fontId="25" fillId="0" borderId="0" xfId="0" applyFont="1" applyBorder="1" applyAlignment="1">
      <alignment horizontal="right"/>
    </xf>
    <xf numFmtId="0" fontId="64" fillId="0" borderId="24" xfId="0" applyFont="1" applyBorder="1" applyAlignment="1">
      <alignment horizontal="center" vertical="center"/>
    </xf>
    <xf numFmtId="3" fontId="64" fillId="0" borderId="37" xfId="0" applyNumberFormat="1" applyFont="1" applyBorder="1" applyAlignment="1">
      <alignment horizontal="center" vertical="center"/>
    </xf>
    <xf numFmtId="3" fontId="64" fillId="0" borderId="89" xfId="0" applyNumberFormat="1" applyFont="1" applyBorder="1" applyAlignment="1">
      <alignment horizontal="center" vertical="center"/>
    </xf>
    <xf numFmtId="3" fontId="64" fillId="0" borderId="24" xfId="0" applyNumberFormat="1" applyFont="1" applyBorder="1" applyAlignment="1">
      <alignment horizontal="center" vertical="center"/>
    </xf>
    <xf numFmtId="3" fontId="59" fillId="0" borderId="12" xfId="0" applyNumberFormat="1" applyFont="1" applyBorder="1" applyAlignment="1">
      <alignment horizontal="center" vertical="center"/>
    </xf>
    <xf numFmtId="3" fontId="59" fillId="0" borderId="29" xfId="0" applyNumberFormat="1" applyFont="1" applyBorder="1" applyAlignment="1">
      <alignment horizontal="center" vertical="center"/>
    </xf>
    <xf numFmtId="0" fontId="30" fillId="0" borderId="14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5" fillId="0" borderId="48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3" fontId="30" fillId="0" borderId="84" xfId="0" applyNumberFormat="1" applyFont="1" applyBorder="1" applyAlignment="1">
      <alignment horizontal="center" vertical="center"/>
    </xf>
    <xf numFmtId="0" fontId="59" fillId="0" borderId="29" xfId="0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3" fontId="74" fillId="0" borderId="24" xfId="0" applyNumberFormat="1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3" fontId="64" fillId="0" borderId="12" xfId="0" applyNumberFormat="1" applyFont="1" applyBorder="1" applyAlignment="1">
      <alignment horizontal="center" vertical="center"/>
    </xf>
    <xf numFmtId="3" fontId="64" fillId="0" borderId="29" xfId="0" applyNumberFormat="1" applyFont="1" applyBorder="1" applyAlignment="1">
      <alignment horizontal="center" vertical="center"/>
    </xf>
    <xf numFmtId="0" fontId="25" fillId="0" borderId="14" xfId="0" applyFont="1" applyBorder="1" applyAlignment="1">
      <alignment horizontal="right"/>
    </xf>
    <xf numFmtId="0" fontId="28" fillId="0" borderId="23" xfId="0" applyFont="1" applyBorder="1" applyAlignment="1">
      <alignment horizontal="center" vertical="center" wrapText="1"/>
    </xf>
    <xf numFmtId="0" fontId="28" fillId="0" borderId="37" xfId="0" applyFont="1" applyBorder="1" applyAlignment="1">
      <alignment horizontal="center" vertical="center" wrapText="1"/>
    </xf>
    <xf numFmtId="0" fontId="27" fillId="0" borderId="0" xfId="75" applyFont="1" applyAlignment="1">
      <alignment horizontal="right"/>
    </xf>
    <xf numFmtId="3" fontId="110" fillId="0" borderId="32" xfId="71" applyNumberFormat="1" applyFont="1" applyBorder="1" applyAlignment="1">
      <alignment horizontal="right" vertical="center"/>
    </xf>
    <xf numFmtId="3" fontId="110" fillId="0" borderId="56" xfId="71" applyNumberFormat="1" applyFont="1" applyBorder="1" applyAlignment="1">
      <alignment horizontal="right" vertical="center"/>
    </xf>
    <xf numFmtId="0" fontId="75" fillId="0" borderId="85" xfId="71" applyFont="1" applyFill="1" applyBorder="1" applyAlignment="1">
      <alignment horizontal="center" vertical="center"/>
    </xf>
    <xf numFmtId="0" fontId="75" fillId="0" borderId="86" xfId="71" applyFont="1" applyFill="1" applyBorder="1" applyAlignment="1">
      <alignment horizontal="center" vertical="center"/>
    </xf>
    <xf numFmtId="3" fontId="75" fillId="0" borderId="46" xfId="71" applyNumberFormat="1" applyFont="1" applyFill="1" applyBorder="1" applyAlignment="1">
      <alignment horizontal="center" vertical="center"/>
    </xf>
    <xf numFmtId="3" fontId="75" fillId="0" borderId="27" xfId="71" applyNumberFormat="1" applyFont="1" applyFill="1" applyBorder="1" applyAlignment="1">
      <alignment horizontal="center" vertical="center"/>
    </xf>
    <xf numFmtId="3" fontId="75" fillId="0" borderId="46" xfId="71" applyNumberFormat="1" applyFont="1" applyFill="1" applyBorder="1" applyAlignment="1">
      <alignment horizontal="center" vertical="center" wrapText="1"/>
    </xf>
    <xf numFmtId="3" fontId="75" fillId="0" borderId="27" xfId="71" applyNumberFormat="1" applyFont="1" applyFill="1" applyBorder="1" applyAlignment="1">
      <alignment horizontal="center" vertical="center" wrapText="1"/>
    </xf>
    <xf numFmtId="3" fontId="75" fillId="0" borderId="73" xfId="71" applyNumberFormat="1" applyFont="1" applyFill="1" applyBorder="1" applyAlignment="1">
      <alignment horizontal="center" vertical="center" wrapText="1"/>
    </xf>
    <xf numFmtId="0" fontId="117" fillId="0" borderId="0" xfId="71" applyFont="1" applyAlignment="1">
      <alignment horizontal="right" vertical="center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32" fillId="0" borderId="0" xfId="71" applyFont="1" applyAlignment="1">
      <alignment horizontal="right" vertical="center"/>
    </xf>
    <xf numFmtId="3" fontId="27" fillId="0" borderId="0" xfId="0" applyNumberFormat="1" applyFont="1" applyBorder="1" applyAlignment="1">
      <alignment horizontal="right" vertical="top" wrapText="1"/>
    </xf>
    <xf numFmtId="0" fontId="81" fillId="0" borderId="24" xfId="0" applyFont="1" applyBorder="1" applyAlignment="1"/>
    <xf numFmtId="0" fontId="24" fillId="0" borderId="28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8" fillId="0" borderId="0" xfId="0" applyFont="1" applyBorder="1" applyAlignment="1">
      <alignment horizontal="right"/>
    </xf>
    <xf numFmtId="0" fontId="0" fillId="0" borderId="0" xfId="0" applyBorder="1" applyAlignment="1"/>
    <xf numFmtId="0" fontId="0" fillId="0" borderId="14" xfId="0" applyBorder="1" applyAlignment="1"/>
    <xf numFmtId="0" fontId="24" fillId="0" borderId="29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24" fillId="0" borderId="25" xfId="0" applyFont="1" applyBorder="1" applyAlignment="1">
      <alignment horizontal="center" vertical="center"/>
    </xf>
    <xf numFmtId="0" fontId="24" fillId="0" borderId="45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 wrapText="1"/>
    </xf>
    <xf numFmtId="0" fontId="24" fillId="0" borderId="45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/>
    </xf>
    <xf numFmtId="0" fontId="25" fillId="0" borderId="28" xfId="0" applyFont="1" applyBorder="1" applyAlignment="1">
      <alignment horizontal="center" vertical="center"/>
    </xf>
    <xf numFmtId="0" fontId="25" fillId="0" borderId="109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3" fontId="25" fillId="0" borderId="29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8" fillId="0" borderId="14" xfId="0" applyFont="1" applyBorder="1" applyAlignment="1">
      <alignment horizontal="right"/>
    </xf>
    <xf numFmtId="0" fontId="67" fillId="0" borderId="14" xfId="0" applyFont="1" applyBorder="1" applyAlignment="1">
      <alignment horizontal="right"/>
    </xf>
    <xf numFmtId="0" fontId="28" fillId="0" borderId="24" xfId="0" applyFont="1" applyBorder="1" applyAlignment="1">
      <alignment horizontal="center" vertical="center" wrapText="1"/>
    </xf>
    <xf numFmtId="3" fontId="150" fillId="0" borderId="32" xfId="71" applyNumberFormat="1" applyFont="1" applyBorder="1" applyAlignment="1">
      <alignment horizontal="right" vertical="center"/>
    </xf>
    <xf numFmtId="3" fontId="150" fillId="0" borderId="56" xfId="71" applyNumberFormat="1" applyFont="1" applyBorder="1" applyAlignment="1">
      <alignment horizontal="right" vertical="center"/>
    </xf>
    <xf numFmtId="0" fontId="25" fillId="0" borderId="0" xfId="76" applyFont="1" applyBorder="1" applyAlignment="1">
      <alignment horizontal="center"/>
    </xf>
    <xf numFmtId="0" fontId="34" fillId="0" borderId="24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3" fontId="29" fillId="0" borderId="79" xfId="0" applyNumberFormat="1" applyFont="1" applyBorder="1" applyAlignment="1">
      <alignment horizontal="right"/>
    </xf>
    <xf numFmtId="0" fontId="0" fillId="0" borderId="79" xfId="0" applyBorder="1" applyAlignment="1"/>
    <xf numFmtId="0" fontId="29" fillId="0" borderId="24" xfId="0" applyFont="1" applyBorder="1" applyAlignment="1">
      <alignment horizontal="center" vertical="center" wrapText="1"/>
    </xf>
    <xf numFmtId="0" fontId="110" fillId="0" borderId="24" xfId="0" applyFont="1" applyBorder="1" applyAlignment="1">
      <alignment horizontal="center" vertical="center" wrapText="1"/>
    </xf>
    <xf numFmtId="3" fontId="110" fillId="0" borderId="24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57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right"/>
    </xf>
    <xf numFmtId="49" fontId="25" fillId="0" borderId="13" xfId="78" applyNumberFormat="1" applyFont="1" applyBorder="1" applyAlignment="1">
      <alignment horizontal="center" vertical="center" textRotation="255" wrapText="1"/>
    </xf>
    <xf numFmtId="3" fontId="25" fillId="0" borderId="119" xfId="78" applyNumberFormat="1" applyFont="1" applyBorder="1" applyAlignment="1">
      <alignment horizontal="center" vertical="center" wrapText="1"/>
    </xf>
    <xf numFmtId="3" fontId="25" fillId="0" borderId="120" xfId="78" applyNumberFormat="1" applyFont="1" applyBorder="1" applyAlignment="1">
      <alignment horizontal="center" vertical="center" wrapText="1"/>
    </xf>
    <xf numFmtId="3" fontId="25" fillId="0" borderId="34" xfId="78" applyNumberFormat="1" applyFont="1" applyBorder="1" applyAlignment="1">
      <alignment horizontal="center" vertical="center" wrapText="1"/>
    </xf>
    <xf numFmtId="3" fontId="25" fillId="0" borderId="51" xfId="78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40" xfId="0" applyNumberFormat="1" applyFont="1" applyBorder="1" applyAlignment="1">
      <alignment horizontal="center" vertical="center" wrapText="1"/>
    </xf>
    <xf numFmtId="3" fontId="25" fillId="0" borderId="15" xfId="0" applyNumberFormat="1" applyFont="1" applyBorder="1" applyAlignment="1">
      <alignment horizontal="center" vertical="center" wrapText="1"/>
    </xf>
    <xf numFmtId="3" fontId="25" fillId="0" borderId="24" xfId="0" applyNumberFormat="1" applyFont="1" applyBorder="1" applyAlignment="1">
      <alignment horizontal="center" vertical="center" wrapText="1"/>
    </xf>
    <xf numFmtId="3" fontId="25" fillId="0" borderId="19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center" vertical="center"/>
    </xf>
    <xf numFmtId="3" fontId="25" fillId="0" borderId="60" xfId="78" applyNumberFormat="1" applyFont="1" applyBorder="1" applyAlignment="1">
      <alignment horizontal="center" vertical="center"/>
    </xf>
    <xf numFmtId="3" fontId="25" fillId="0" borderId="41" xfId="0" applyNumberFormat="1" applyFont="1" applyBorder="1" applyAlignment="1">
      <alignment horizontal="center" vertical="center" wrapText="1"/>
    </xf>
    <xf numFmtId="3" fontId="25" fillId="0" borderId="76" xfId="0" applyNumberFormat="1" applyFont="1" applyBorder="1" applyAlignment="1">
      <alignment horizontal="center" vertical="center" wrapText="1"/>
    </xf>
    <xf numFmtId="3" fontId="25" fillId="0" borderId="117" xfId="0" applyNumberFormat="1" applyFont="1" applyBorder="1" applyAlignment="1">
      <alignment horizontal="center" vertical="center" wrapText="1"/>
    </xf>
    <xf numFmtId="3" fontId="25" fillId="0" borderId="42" xfId="78" applyNumberFormat="1" applyFont="1" applyBorder="1" applyAlignment="1">
      <alignment horizontal="center" vertical="center"/>
    </xf>
    <xf numFmtId="3" fontId="25" fillId="0" borderId="82" xfId="78" applyNumberFormat="1" applyFont="1" applyBorder="1" applyAlignment="1">
      <alignment horizontal="center" vertical="center"/>
    </xf>
    <xf numFmtId="3" fontId="25" fillId="0" borderId="118" xfId="78" applyNumberFormat="1" applyFont="1" applyBorder="1" applyAlignment="1">
      <alignment horizontal="center" vertical="center"/>
    </xf>
    <xf numFmtId="3" fontId="44" fillId="0" borderId="24" xfId="0" applyNumberFormat="1" applyFont="1" applyBorder="1" applyAlignment="1">
      <alignment horizontal="center"/>
    </xf>
    <xf numFmtId="0" fontId="44" fillId="0" borderId="24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79" xfId="0" applyFont="1" applyBorder="1" applyAlignment="1">
      <alignment horizontal="right"/>
    </xf>
    <xf numFmtId="0" fontId="0" fillId="0" borderId="79" xfId="0" applyBorder="1" applyAlignment="1">
      <alignment horizontal="right"/>
    </xf>
    <xf numFmtId="0" fontId="0" fillId="0" borderId="0" xfId="0" applyBorder="1" applyAlignment="1">
      <alignment horizontal="right"/>
    </xf>
    <xf numFmtId="3" fontId="48" fillId="0" borderId="24" xfId="0" applyNumberFormat="1" applyFont="1" applyBorder="1" applyAlignment="1">
      <alignment horizontal="center" vertical="center" wrapText="1"/>
    </xf>
    <xf numFmtId="0" fontId="47" fillId="0" borderId="24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3" fontId="25" fillId="0" borderId="84" xfId="0" applyNumberFormat="1" applyFont="1" applyBorder="1" applyAlignment="1">
      <alignment horizontal="center" vertical="center"/>
    </xf>
    <xf numFmtId="3" fontId="155" fillId="0" borderId="84" xfId="0" applyNumberFormat="1" applyFont="1" applyBorder="1" applyAlignment="1">
      <alignment horizontal="center" vertical="center"/>
    </xf>
    <xf numFmtId="0" fontId="64" fillId="0" borderId="0" xfId="74" applyFont="1" applyBorder="1" applyAlignment="1">
      <alignment horizontal="center"/>
    </xf>
    <xf numFmtId="0" fontId="64" fillId="0" borderId="46" xfId="0" applyFont="1" applyFill="1" applyBorder="1" applyAlignment="1"/>
    <xf numFmtId="0" fontId="78" fillId="0" borderId="73" xfId="0" applyFont="1" applyBorder="1" applyAlignment="1"/>
    <xf numFmtId="0" fontId="64" fillId="0" borderId="98" xfId="0" applyFont="1" applyBorder="1" applyAlignment="1">
      <alignment horizontal="center" vertical="center"/>
    </xf>
    <xf numFmtId="0" fontId="64" fillId="0" borderId="26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 wrapText="1"/>
    </xf>
    <xf numFmtId="3" fontId="64" fillId="0" borderId="12" xfId="0" applyNumberFormat="1" applyFont="1" applyBorder="1" applyAlignment="1">
      <alignment horizontal="center" vertical="center" wrapText="1"/>
    </xf>
    <xf numFmtId="3" fontId="64" fillId="0" borderId="40" xfId="0" applyNumberFormat="1" applyFont="1" applyBorder="1" applyAlignment="1">
      <alignment horizontal="center" vertical="center" wrapText="1"/>
    </xf>
    <xf numFmtId="3" fontId="64" fillId="0" borderId="52" xfId="0" applyNumberFormat="1" applyFont="1" applyBorder="1" applyAlignment="1">
      <alignment horizontal="center" vertical="center" wrapText="1"/>
    </xf>
    <xf numFmtId="3" fontId="64" fillId="0" borderId="89" xfId="0" applyNumberFormat="1" applyFont="1" applyBorder="1" applyAlignment="1">
      <alignment horizontal="center" vertical="center" wrapText="1"/>
    </xf>
    <xf numFmtId="3" fontId="64" fillId="0" borderId="90" xfId="0" applyNumberFormat="1" applyFont="1" applyBorder="1" applyAlignment="1">
      <alignment horizontal="center" vertical="center" wrapText="1"/>
    </xf>
    <xf numFmtId="3" fontId="57" fillId="0" borderId="91" xfId="0" applyNumberFormat="1" applyFont="1" applyBorder="1" applyAlignment="1">
      <alignment horizontal="center" vertical="center" wrapText="1"/>
    </xf>
    <xf numFmtId="3" fontId="57" fillId="0" borderId="92" xfId="0" applyNumberFormat="1" applyFont="1" applyBorder="1" applyAlignment="1">
      <alignment horizontal="center" vertical="center" wrapText="1"/>
    </xf>
    <xf numFmtId="0" fontId="57" fillId="0" borderId="93" xfId="0" applyFont="1" applyBorder="1" applyAlignment="1">
      <alignment horizontal="center" vertical="center" textRotation="255"/>
    </xf>
    <xf numFmtId="0" fontId="57" fillId="0" borderId="94" xfId="0" applyFont="1" applyBorder="1" applyAlignment="1">
      <alignment horizontal="center" vertical="center" textRotation="255"/>
    </xf>
    <xf numFmtId="0" fontId="0" fillId="0" borderId="95" xfId="0" applyBorder="1" applyAlignment="1"/>
    <xf numFmtId="3" fontId="64" fillId="0" borderId="96" xfId="0" applyNumberFormat="1" applyFont="1" applyBorder="1" applyAlignment="1">
      <alignment horizontal="center" vertical="center" wrapText="1"/>
    </xf>
    <xf numFmtId="3" fontId="64" fillId="0" borderId="97" xfId="0" applyNumberFormat="1" applyFont="1" applyBorder="1" applyAlignment="1">
      <alignment horizontal="center" vertical="center" wrapText="1"/>
    </xf>
    <xf numFmtId="3" fontId="64" fillId="0" borderId="16" xfId="0" applyNumberFormat="1" applyFont="1" applyBorder="1" applyAlignment="1">
      <alignment horizontal="center" vertical="center"/>
    </xf>
    <xf numFmtId="3" fontId="64" fillId="0" borderId="99" xfId="0" applyNumberFormat="1" applyFont="1" applyBorder="1" applyAlignment="1">
      <alignment horizontal="center" vertical="center"/>
    </xf>
    <xf numFmtId="3" fontId="64" fillId="0" borderId="101" xfId="0" applyNumberFormat="1" applyFont="1" applyBorder="1" applyAlignment="1">
      <alignment horizontal="center" vertical="center"/>
    </xf>
    <xf numFmtId="3" fontId="64" fillId="0" borderId="100" xfId="0" applyNumberFormat="1" applyFont="1" applyBorder="1" applyAlignment="1">
      <alignment horizontal="center" vertical="center"/>
    </xf>
    <xf numFmtId="3" fontId="64" fillId="0" borderId="102" xfId="0" applyNumberFormat="1" applyFont="1" applyBorder="1" applyAlignment="1">
      <alignment horizontal="center" vertical="center"/>
    </xf>
    <xf numFmtId="3" fontId="63" fillId="0" borderId="0" xfId="0" applyNumberFormat="1" applyFont="1" applyBorder="1" applyAlignment="1">
      <alignment horizontal="right"/>
    </xf>
    <xf numFmtId="3" fontId="64" fillId="0" borderId="10" xfId="0" applyNumberFormat="1" applyFont="1" applyBorder="1" applyAlignment="1">
      <alignment horizontal="center" vertical="center"/>
    </xf>
    <xf numFmtId="3" fontId="78" fillId="0" borderId="10" xfId="0" applyNumberFormat="1" applyFont="1" applyBorder="1" applyAlignment="1">
      <alignment horizontal="center" vertical="center"/>
    </xf>
    <xf numFmtId="3" fontId="78" fillId="0" borderId="103" xfId="0" applyNumberFormat="1" applyFont="1" applyBorder="1" applyAlignment="1">
      <alignment horizontal="center" vertical="center"/>
    </xf>
    <xf numFmtId="0" fontId="78" fillId="0" borderId="10" xfId="0" applyFont="1" applyBorder="1" applyAlignment="1">
      <alignment horizontal="center" vertical="center"/>
    </xf>
    <xf numFmtId="0" fontId="78" fillId="0" borderId="104" xfId="0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0" fontId="0" fillId="0" borderId="57" xfId="0" applyBorder="1" applyAlignment="1"/>
    <xf numFmtId="0" fontId="78" fillId="0" borderId="0" xfId="0" applyFont="1" applyAlignment="1">
      <alignment horizontal="right"/>
    </xf>
    <xf numFmtId="0" fontId="78" fillId="0" borderId="0" xfId="0" applyFont="1" applyAlignment="1"/>
    <xf numFmtId="3" fontId="58" fillId="0" borderId="0" xfId="0" applyNumberFormat="1" applyFont="1" applyAlignment="1">
      <alignment horizontal="center"/>
    </xf>
    <xf numFmtId="3" fontId="64" fillId="0" borderId="57" xfId="0" applyNumberFormat="1" applyFont="1" applyBorder="1" applyAlignment="1">
      <alignment horizontal="right"/>
    </xf>
    <xf numFmtId="3" fontId="64" fillId="0" borderId="91" xfId="0" applyNumberFormat="1" applyFont="1" applyBorder="1" applyAlignment="1">
      <alignment horizontal="center" vertical="center" wrapText="1"/>
    </xf>
    <xf numFmtId="0" fontId="64" fillId="0" borderId="105" xfId="0" applyFont="1" applyBorder="1" applyAlignment="1">
      <alignment horizontal="center" vertical="center" readingOrder="2"/>
    </xf>
    <xf numFmtId="0" fontId="78" fillId="0" borderId="103" xfId="0" applyFont="1" applyBorder="1" applyAlignment="1">
      <alignment horizontal="center" vertical="center"/>
    </xf>
    <xf numFmtId="0" fontId="57" fillId="0" borderId="88" xfId="0" applyFont="1" applyBorder="1" applyAlignment="1">
      <alignment horizontal="center" vertical="center" textRotation="255"/>
    </xf>
    <xf numFmtId="3" fontId="64" fillId="0" borderId="17" xfId="0" applyNumberFormat="1" applyFont="1" applyBorder="1" applyAlignment="1">
      <alignment horizontal="center" vertical="center"/>
    </xf>
    <xf numFmtId="0" fontId="59" fillId="0" borderId="46" xfId="0" applyFont="1" applyBorder="1" applyAlignment="1">
      <alignment horizontal="left"/>
    </xf>
    <xf numFmtId="0" fontId="59" fillId="0" borderId="64" xfId="0" applyFont="1" applyBorder="1" applyAlignment="1">
      <alignment horizontal="left"/>
    </xf>
    <xf numFmtId="3" fontId="64" fillId="0" borderId="106" xfId="0" applyNumberFormat="1" applyFont="1" applyBorder="1" applyAlignment="1">
      <alignment horizontal="center"/>
    </xf>
    <xf numFmtId="3" fontId="89" fillId="0" borderId="107" xfId="0" applyNumberFormat="1" applyFont="1" applyBorder="1" applyAlignment="1">
      <alignment horizontal="center"/>
    </xf>
    <xf numFmtId="3" fontId="90" fillId="0" borderId="106" xfId="0" applyNumberFormat="1" applyFont="1" applyBorder="1" applyAlignment="1">
      <alignment horizontal="center"/>
    </xf>
    <xf numFmtId="3" fontId="90" fillId="0" borderId="123" xfId="0" applyNumberFormat="1" applyFont="1" applyBorder="1" applyAlignment="1">
      <alignment horizontal="center"/>
    </xf>
    <xf numFmtId="3" fontId="90" fillId="0" borderId="28" xfId="0" applyNumberFormat="1" applyFont="1" applyBorder="1" applyAlignment="1">
      <alignment horizontal="center" vertical="center" wrapText="1"/>
    </xf>
    <xf numFmtId="3" fontId="90" fillId="0" borderId="127" xfId="0" applyNumberFormat="1" applyFont="1" applyBorder="1" applyAlignment="1">
      <alignment horizontal="center" vertical="center" wrapText="1"/>
    </xf>
    <xf numFmtId="3" fontId="90" fillId="0" borderId="21" xfId="0" applyNumberFormat="1" applyFont="1" applyBorder="1" applyAlignment="1">
      <alignment horizontal="center" vertical="center" wrapText="1"/>
    </xf>
    <xf numFmtId="3" fontId="90" fillId="0" borderId="15" xfId="0" applyNumberFormat="1" applyFont="1" applyBorder="1" applyAlignment="1">
      <alignment horizontal="center" vertical="center" wrapText="1"/>
    </xf>
    <xf numFmtId="3" fontId="90" fillId="0" borderId="125" xfId="0" applyNumberFormat="1" applyFont="1" applyBorder="1" applyAlignment="1">
      <alignment horizontal="center" vertical="center" wrapText="1"/>
    </xf>
    <xf numFmtId="3" fontId="90" fillId="0" borderId="112" xfId="0" applyNumberFormat="1" applyFont="1" applyBorder="1" applyAlignment="1">
      <alignment horizontal="center" vertical="center" wrapText="1"/>
    </xf>
    <xf numFmtId="3" fontId="90" fillId="0" borderId="0" xfId="0" applyNumberFormat="1" applyFont="1" applyBorder="1" applyAlignment="1">
      <alignment horizontal="center" vertical="center" wrapText="1"/>
    </xf>
    <xf numFmtId="3" fontId="90" fillId="0" borderId="55" xfId="0" applyNumberFormat="1" applyFont="1" applyBorder="1" applyAlignment="1">
      <alignment horizontal="center" vertical="center" wrapText="1"/>
    </xf>
    <xf numFmtId="0" fontId="88" fillId="0" borderId="0" xfId="0" applyFont="1" applyBorder="1" applyAlignment="1"/>
    <xf numFmtId="0" fontId="90" fillId="0" borderId="0" xfId="0" applyFont="1" applyBorder="1" applyAlignment="1">
      <alignment horizontal="center"/>
    </xf>
    <xf numFmtId="0" fontId="88" fillId="0" borderId="0" xfId="0" applyFont="1" applyAlignment="1"/>
    <xf numFmtId="0" fontId="89" fillId="0" borderId="25" xfId="0" applyFont="1" applyBorder="1" applyAlignment="1">
      <alignment horizontal="center" vertical="center" textRotation="255"/>
    </xf>
    <xf numFmtId="0" fontId="89" fillId="0" borderId="26" xfId="0" applyFont="1" applyBorder="1" applyAlignment="1">
      <alignment horizontal="center" vertical="center" textRotation="255"/>
    </xf>
    <xf numFmtId="3" fontId="64" fillId="0" borderId="15" xfId="0" applyNumberFormat="1" applyFont="1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28" xfId="0" applyBorder="1" applyAlignment="1">
      <alignment horizontal="center" vertical="center" wrapText="1"/>
    </xf>
    <xf numFmtId="0" fontId="90" fillId="0" borderId="79" xfId="0" applyFont="1" applyBorder="1" applyAlignment="1">
      <alignment horizontal="right"/>
    </xf>
    <xf numFmtId="3" fontId="64" fillId="0" borderId="87" xfId="0" applyNumberFormat="1" applyFont="1" applyBorder="1" applyAlignment="1">
      <alignment horizontal="center" vertical="center" wrapText="1"/>
    </xf>
    <xf numFmtId="3" fontId="64" fillId="0" borderId="24" xfId="0" applyNumberFormat="1" applyFont="1" applyBorder="1" applyAlignment="1">
      <alignment horizontal="center" vertical="center" wrapText="1"/>
    </xf>
    <xf numFmtId="3" fontId="64" fillId="0" borderId="117" xfId="0" applyNumberFormat="1" applyFont="1" applyBorder="1" applyAlignment="1">
      <alignment horizontal="center" vertical="center" wrapText="1"/>
    </xf>
    <xf numFmtId="3" fontId="64" fillId="0" borderId="19" xfId="0" applyNumberFormat="1" applyFont="1" applyBorder="1" applyAlignment="1">
      <alignment horizontal="center"/>
    </xf>
    <xf numFmtId="3" fontId="64" fillId="0" borderId="0" xfId="0" applyNumberFormat="1" applyFont="1" applyBorder="1" applyAlignment="1">
      <alignment horizontal="center"/>
    </xf>
    <xf numFmtId="0" fontId="90" fillId="0" borderId="77" xfId="0" applyFont="1" applyBorder="1" applyAlignment="1">
      <alignment horizontal="center" vertical="center" wrapText="1"/>
    </xf>
    <xf numFmtId="0" fontId="90" fillId="0" borderId="60" xfId="0" applyFont="1" applyBorder="1" applyAlignment="1">
      <alignment horizontal="center" vertical="center" wrapText="1"/>
    </xf>
    <xf numFmtId="0" fontId="88" fillId="0" borderId="60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3" fillId="0" borderId="48" xfId="0" applyFont="1" applyBorder="1" applyAlignment="1">
      <alignment horizontal="center" textRotation="255"/>
    </xf>
    <xf numFmtId="0" fontId="43" fillId="0" borderId="23" xfId="0" applyFont="1" applyBorder="1" applyAlignment="1">
      <alignment horizontal="center" textRotation="255"/>
    </xf>
    <xf numFmtId="0" fontId="44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48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 wrapText="1"/>
    </xf>
    <xf numFmtId="3" fontId="64" fillId="0" borderId="48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2" fillId="0" borderId="48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7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4" xfId="0" applyFont="1" applyBorder="1" applyAlignment="1">
      <alignment horizontal="left"/>
    </xf>
    <xf numFmtId="3" fontId="25" fillId="0" borderId="48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59" fillId="0" borderId="24" xfId="0" applyFont="1" applyBorder="1" applyAlignment="1">
      <alignment horizontal="center" vertical="center"/>
    </xf>
    <xf numFmtId="0" fontId="59" fillId="0" borderId="42" xfId="0" applyFont="1" applyBorder="1" applyAlignment="1">
      <alignment horizontal="center" vertical="center"/>
    </xf>
    <xf numFmtId="0" fontId="59" fillId="0" borderId="82" xfId="0" applyFont="1" applyBorder="1" applyAlignment="1">
      <alignment horizontal="center" vertical="center"/>
    </xf>
    <xf numFmtId="0" fontId="59" fillId="0" borderId="87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39" fillId="0" borderId="0" xfId="0" applyNumberFormat="1" applyFont="1" applyBorder="1" applyAlignment="1">
      <alignment horizontal="right"/>
    </xf>
    <xf numFmtId="0" fontId="53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55" fillId="0" borderId="0" xfId="0" applyFont="1" applyBorder="1" applyAlignment="1">
      <alignment horizontal="right"/>
    </xf>
    <xf numFmtId="0" fontId="48" fillId="0" borderId="0" xfId="0" applyFont="1" applyBorder="1" applyAlignment="1">
      <alignment horizontal="center"/>
    </xf>
    <xf numFmtId="0" fontId="48" fillId="0" borderId="12" xfId="0" applyFont="1" applyBorder="1" applyAlignment="1">
      <alignment horizontal="center"/>
    </xf>
    <xf numFmtId="0" fontId="48" fillId="0" borderId="29" xfId="0" applyFont="1" applyBorder="1" applyAlignment="1">
      <alignment horizontal="center"/>
    </xf>
    <xf numFmtId="0" fontId="43" fillId="0" borderId="12" xfId="0" applyFont="1" applyBorder="1" applyAlignment="1">
      <alignment horizontal="center" textRotation="255"/>
    </xf>
    <xf numFmtId="0" fontId="48" fillId="0" borderId="28" xfId="0" applyFont="1" applyBorder="1" applyAlignment="1">
      <alignment horizontal="center"/>
    </xf>
    <xf numFmtId="0" fontId="56" fillId="0" borderId="12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wrapText="1"/>
    </xf>
    <xf numFmtId="0" fontId="54" fillId="0" borderId="0" xfId="0" applyFont="1" applyBorder="1" applyAlignment="1">
      <alignment horizontal="left" wrapText="1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56" fillId="0" borderId="12" xfId="0" applyFont="1" applyBorder="1" applyAlignment="1">
      <alignment horizontal="center" vertical="center"/>
    </xf>
    <xf numFmtId="0" fontId="100" fillId="0" borderId="0" xfId="72" applyFont="1" applyAlignment="1">
      <alignment horizontal="center"/>
    </xf>
    <xf numFmtId="0" fontId="100" fillId="0" borderId="0" xfId="72" applyFont="1" applyAlignment="1">
      <alignment horizontal="right"/>
    </xf>
    <xf numFmtId="0" fontId="113" fillId="0" borderId="24" xfId="72" applyFont="1" applyBorder="1" applyAlignment="1">
      <alignment horizontal="center"/>
    </xf>
    <xf numFmtId="0" fontId="48" fillId="0" borderId="87" xfId="72" applyFont="1" applyBorder="1" applyAlignment="1">
      <alignment horizontal="center" wrapText="1"/>
    </xf>
    <xf numFmtId="0" fontId="48" fillId="0" borderId="24" xfId="72" applyFont="1" applyBorder="1" applyAlignment="1">
      <alignment horizontal="center" vertical="center"/>
    </xf>
    <xf numFmtId="0" fontId="48" fillId="0" borderId="24" xfId="72" applyFont="1" applyBorder="1" applyAlignment="1">
      <alignment horizontal="center"/>
    </xf>
    <xf numFmtId="0" fontId="48" fillId="0" borderId="79" xfId="72" applyFont="1" applyBorder="1" applyAlignment="1">
      <alignment horizontal="center"/>
    </xf>
    <xf numFmtId="0" fontId="48" fillId="0" borderId="80" xfId="72" applyFont="1" applyBorder="1" applyAlignment="1">
      <alignment horizontal="center"/>
    </xf>
    <xf numFmtId="0" fontId="99" fillId="0" borderId="0" xfId="0" applyFont="1" applyBorder="1" applyAlignment="1">
      <alignment horizontal="right"/>
    </xf>
    <xf numFmtId="0" fontId="98" fillId="0" borderId="24" xfId="72" applyFont="1" applyBorder="1" applyAlignment="1">
      <alignment horizontal="center"/>
    </xf>
    <xf numFmtId="0" fontId="100" fillId="0" borderId="87" xfId="72" applyFont="1" applyBorder="1" applyAlignment="1">
      <alignment horizontal="center" wrapText="1"/>
    </xf>
    <xf numFmtId="0" fontId="100" fillId="0" borderId="24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0" fillId="0" borderId="0" xfId="72" applyFont="1" applyAlignment="1"/>
    <xf numFmtId="0" fontId="100" fillId="0" borderId="42" xfId="72" applyFont="1" applyBorder="1" applyAlignment="1">
      <alignment horizontal="center"/>
    </xf>
    <xf numFmtId="0" fontId="100" fillId="0" borderId="82" xfId="72" applyFont="1" applyBorder="1" applyAlignment="1">
      <alignment horizontal="center"/>
    </xf>
    <xf numFmtId="0" fontId="100" fillId="0" borderId="87" xfId="72" applyFont="1" applyBorder="1" applyAlignment="1">
      <alignment horizontal="center"/>
    </xf>
    <xf numFmtId="0" fontId="99" fillId="0" borderId="0" xfId="72" applyFont="1" applyAlignment="1">
      <alignment horizontal="right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52" fillId="0" borderId="0" xfId="73" applyFont="1" applyAlignment="1">
      <alignment horizontal="right"/>
    </xf>
    <xf numFmtId="0" fontId="20" fillId="0" borderId="24" xfId="73" applyFont="1" applyBorder="1" applyAlignment="1">
      <alignment horizontal="center"/>
    </xf>
    <xf numFmtId="0" fontId="53" fillId="0" borderId="0" xfId="73" applyFont="1" applyAlignment="1">
      <alignment horizontal="center"/>
    </xf>
    <xf numFmtId="0" fontId="35" fillId="0" borderId="0" xfId="77" applyFont="1" applyAlignment="1">
      <alignment horizontal="right"/>
    </xf>
    <xf numFmtId="0" fontId="20" fillId="0" borderId="24" xfId="77" applyFont="1" applyBorder="1" applyAlignment="1">
      <alignment horizontal="center"/>
    </xf>
    <xf numFmtId="0" fontId="53" fillId="0" borderId="0" xfId="77" applyFont="1" applyAlignment="1">
      <alignment horizontal="center"/>
    </xf>
    <xf numFmtId="0" fontId="53" fillId="0" borderId="24" xfId="77" applyFont="1" applyBorder="1" applyAlignment="1">
      <alignment horizontal="center"/>
    </xf>
    <xf numFmtId="0" fontId="53" fillId="0" borderId="25" xfId="77" applyFont="1" applyBorder="1" applyAlignment="1">
      <alignment horizontal="center" vertical="center"/>
    </xf>
    <xf numFmtId="0" fontId="53" fillId="0" borderId="45" xfId="77" applyFont="1" applyBorder="1" applyAlignment="1">
      <alignment horizontal="center" vertical="center"/>
    </xf>
    <xf numFmtId="0" fontId="53" fillId="0" borderId="25" xfId="77" applyFont="1" applyBorder="1" applyAlignment="1">
      <alignment horizontal="center" vertical="center" wrapText="1"/>
    </xf>
    <xf numFmtId="0" fontId="53" fillId="0" borderId="45" xfId="77" applyFont="1" applyBorder="1" applyAlignment="1">
      <alignment horizontal="center" vertical="center" wrapText="1"/>
    </xf>
    <xf numFmtId="0" fontId="53" fillId="0" borderId="41" xfId="77" applyFont="1" applyBorder="1" applyAlignment="1">
      <alignment horizontal="center" vertical="center"/>
    </xf>
    <xf numFmtId="0" fontId="53" fillId="0" borderId="78" xfId="77" applyFont="1" applyBorder="1" applyAlignment="1">
      <alignment horizontal="center" vertical="center"/>
    </xf>
    <xf numFmtId="0" fontId="53" fillId="0" borderId="79" xfId="77" applyFont="1" applyBorder="1" applyAlignment="1">
      <alignment horizontal="right"/>
    </xf>
    <xf numFmtId="0" fontId="64" fillId="0" borderId="0" xfId="0" applyFont="1" applyBorder="1"/>
    <xf numFmtId="0" fontId="92" fillId="0" borderId="0" xfId="0" applyFont="1" applyBorder="1"/>
    <xf numFmtId="16" fontId="57" fillId="0" borderId="0" xfId="0" applyNumberFormat="1" applyFont="1" applyBorder="1"/>
    <xf numFmtId="3" fontId="58" fillId="0" borderId="0" xfId="74" applyNumberFormat="1" applyFont="1" applyBorder="1"/>
    <xf numFmtId="0" fontId="28" fillId="0" borderId="0" xfId="0" applyFont="1" applyBorder="1"/>
    <xf numFmtId="3" fontId="140" fillId="0" borderId="0" xfId="0" applyNumberFormat="1" applyFont="1" applyBorder="1"/>
    <xf numFmtId="3" fontId="59" fillId="0" borderId="0" xfId="0" applyNumberFormat="1" applyFont="1" applyBorder="1"/>
    <xf numFmtId="0" fontId="34" fillId="0" borderId="0" xfId="0" applyFont="1" applyBorder="1"/>
    <xf numFmtId="3" fontId="138" fillId="0" borderId="0" xfId="74" applyNumberFormat="1" applyFont="1" applyBorder="1"/>
    <xf numFmtId="3" fontId="138" fillId="0" borderId="0" xfId="0" applyNumberFormat="1" applyFont="1" applyBorder="1"/>
    <xf numFmtId="0" fontId="25" fillId="0" borderId="0" xfId="0" applyFont="1" applyBorder="1" applyAlignment="1">
      <alignment wrapText="1"/>
    </xf>
    <xf numFmtId="3" fontId="64" fillId="0" borderId="0" xfId="0" applyNumberFormat="1" applyFont="1" applyBorder="1"/>
    <xf numFmtId="3" fontId="57" fillId="0" borderId="0" xfId="0" applyNumberFormat="1" applyFont="1" applyBorder="1" applyAlignment="1">
      <alignment wrapText="1"/>
    </xf>
    <xf numFmtId="0" fontId="28" fillId="0" borderId="0" xfId="0" applyFont="1" applyBorder="1" applyAlignment="1">
      <alignment wrapText="1"/>
    </xf>
    <xf numFmtId="3" fontId="59" fillId="0" borderId="0" xfId="0" applyNumberFormat="1" applyFont="1" applyBorder="1" applyAlignment="1">
      <alignment wrapText="1"/>
    </xf>
    <xf numFmtId="3" fontId="58" fillId="0" borderId="0" xfId="0" applyNumberFormat="1" applyFont="1" applyBorder="1" applyAlignment="1">
      <alignment wrapText="1"/>
    </xf>
    <xf numFmtId="3" fontId="92" fillId="0" borderId="0" xfId="0" applyNumberFormat="1" applyFont="1" applyBorder="1" applyAlignment="1">
      <alignment wrapText="1"/>
    </xf>
    <xf numFmtId="3" fontId="92" fillId="0" borderId="0" xfId="0" applyNumberFormat="1" applyFont="1" applyBorder="1"/>
    <xf numFmtId="3" fontId="35" fillId="0" borderId="0" xfId="0" applyNumberFormat="1" applyFont="1" applyBorder="1"/>
    <xf numFmtId="0" fontId="38" fillId="0" borderId="0" xfId="0" applyFont="1" applyBorder="1"/>
    <xf numFmtId="0" fontId="66" fillId="0" borderId="0" xfId="0" applyFont="1" applyBorder="1"/>
    <xf numFmtId="3" fontId="39" fillId="0" borderId="0" xfId="0" applyNumberFormat="1" applyFont="1" applyBorder="1"/>
    <xf numFmtId="3" fontId="30" fillId="0" borderId="0" xfId="0" applyNumberFormat="1" applyFont="1" applyBorder="1"/>
    <xf numFmtId="3" fontId="38" fillId="0" borderId="0" xfId="0" applyNumberFormat="1" applyFont="1" applyBorder="1"/>
    <xf numFmtId="0" fontId="30" fillId="0" borderId="0" xfId="0" applyFont="1" applyBorder="1"/>
    <xf numFmtId="0" fontId="25" fillId="0" borderId="24" xfId="0" applyFont="1" applyBorder="1" applyAlignment="1">
      <alignment horizontal="center"/>
    </xf>
    <xf numFmtId="0" fontId="28" fillId="0" borderId="0" xfId="0" applyFont="1" applyBorder="1" applyAlignment="1">
      <alignment vertical="center" wrapText="1"/>
    </xf>
    <xf numFmtId="3" fontId="58" fillId="0" borderId="0" xfId="0" applyNumberFormat="1" applyFont="1" applyBorder="1" applyAlignment="1">
      <alignment vertical="center"/>
    </xf>
    <xf numFmtId="3" fontId="25" fillId="0" borderId="60" xfId="0" applyNumberFormat="1" applyFont="1" applyBorder="1"/>
    <xf numFmtId="3" fontId="138" fillId="0" borderId="60" xfId="74" applyNumberFormat="1" applyFont="1" applyBorder="1"/>
    <xf numFmtId="3" fontId="138" fillId="0" borderId="60" xfId="0" applyNumberFormat="1" applyFont="1" applyBorder="1"/>
    <xf numFmtId="3" fontId="58" fillId="0" borderId="60" xfId="0" applyNumberFormat="1" applyFont="1" applyBorder="1" applyAlignment="1">
      <alignment vertical="center"/>
    </xf>
    <xf numFmtId="0" fontId="25" fillId="0" borderId="64" xfId="0" applyFont="1" applyBorder="1"/>
    <xf numFmtId="3" fontId="30" fillId="0" borderId="56" xfId="0" applyNumberFormat="1" applyFont="1" applyFill="1" applyBorder="1"/>
    <xf numFmtId="3" fontId="35" fillId="0" borderId="0" xfId="74" applyNumberFormat="1" applyFont="1" applyBorder="1"/>
    <xf numFmtId="3" fontId="66" fillId="0" borderId="0" xfId="0" applyNumberFormat="1" applyFont="1" applyBorder="1"/>
    <xf numFmtId="3" fontId="39" fillId="0" borderId="0" xfId="74" applyNumberFormat="1" applyFont="1" applyBorder="1"/>
    <xf numFmtId="0" fontId="68" fillId="0" borderId="0" xfId="0" applyFont="1" applyBorder="1"/>
    <xf numFmtId="3" fontId="128" fillId="0" borderId="0" xfId="0" applyNumberFormat="1" applyFont="1" applyBorder="1"/>
    <xf numFmtId="3" fontId="39" fillId="0" borderId="60" xfId="74" applyNumberFormat="1" applyFont="1" applyBorder="1"/>
    <xf numFmtId="3" fontId="39" fillId="0" borderId="60" xfId="0" applyNumberFormat="1" applyFont="1" applyBorder="1"/>
    <xf numFmtId="3" fontId="30" fillId="0" borderId="60" xfId="0" applyNumberFormat="1" applyFont="1" applyBorder="1"/>
    <xf numFmtId="3" fontId="35" fillId="0" borderId="60" xfId="0" applyNumberFormat="1" applyFont="1" applyBorder="1"/>
    <xf numFmtId="3" fontId="58" fillId="0" borderId="60" xfId="0" applyNumberFormat="1" applyFont="1" applyBorder="1" applyAlignment="1">
      <alignment wrapText="1"/>
    </xf>
    <xf numFmtId="3" fontId="69" fillId="0" borderId="74" xfId="0" applyNumberFormat="1" applyFont="1" applyBorder="1" applyAlignment="1">
      <alignment horizontal="center" vertical="center" wrapText="1"/>
    </xf>
    <xf numFmtId="3" fontId="69" fillId="0" borderId="75" xfId="0" applyNumberFormat="1" applyFont="1" applyBorder="1" applyAlignment="1">
      <alignment horizontal="center" vertical="center" wrapText="1"/>
    </xf>
    <xf numFmtId="3" fontId="69" fillId="0" borderId="134" xfId="0" applyNumberFormat="1" applyFont="1" applyBorder="1" applyAlignment="1">
      <alignment horizontal="center" vertical="center" wrapText="1"/>
    </xf>
    <xf numFmtId="3" fontId="69" fillId="0" borderId="135" xfId="0" applyNumberFormat="1" applyFont="1" applyBorder="1" applyAlignment="1">
      <alignment horizontal="center" vertical="center" wrapText="1"/>
    </xf>
    <xf numFmtId="3" fontId="25" fillId="0" borderId="20" xfId="0" applyNumberFormat="1" applyFont="1" applyBorder="1" applyAlignment="1">
      <alignment horizontal="center" vertical="center"/>
    </xf>
    <xf numFmtId="3" fontId="64" fillId="0" borderId="60" xfId="0" applyNumberFormat="1" applyFont="1" applyBorder="1" applyAlignment="1">
      <alignment horizontal="center" vertical="center"/>
    </xf>
    <xf numFmtId="3" fontId="57" fillId="0" borderId="0" xfId="74" applyNumberFormat="1" applyFont="1" applyBorder="1"/>
    <xf numFmtId="0" fontId="57" fillId="0" borderId="0" xfId="0" applyFont="1" applyBorder="1" applyAlignment="1">
      <alignment wrapText="1"/>
    </xf>
    <xf numFmtId="3" fontId="68" fillId="0" borderId="0" xfId="0" applyNumberFormat="1" applyFont="1" applyBorder="1"/>
    <xf numFmtId="3" fontId="34" fillId="0" borderId="0" xfId="0" applyNumberFormat="1" applyFont="1" applyBorder="1"/>
    <xf numFmtId="0" fontId="39" fillId="0" borderId="0" xfId="0" applyFont="1" applyBorder="1"/>
    <xf numFmtId="3" fontId="64" fillId="0" borderId="0" xfId="0" applyNumberFormat="1" applyFont="1" applyBorder="1" applyAlignment="1">
      <alignment wrapText="1"/>
    </xf>
    <xf numFmtId="0" fontId="28" fillId="0" borderId="26" xfId="0" applyFont="1" applyBorder="1" applyAlignment="1">
      <alignment horizontal="center"/>
    </xf>
    <xf numFmtId="0" fontId="28" fillId="0" borderId="38" xfId="0" applyFont="1" applyBorder="1" applyAlignment="1">
      <alignment horizontal="center" vertical="center" wrapText="1"/>
    </xf>
    <xf numFmtId="0" fontId="28" fillId="0" borderId="136" xfId="0" applyFont="1" applyBorder="1" applyAlignment="1">
      <alignment horizontal="center" vertical="center" wrapText="1"/>
    </xf>
    <xf numFmtId="0" fontId="28" fillId="0" borderId="137" xfId="0" applyFont="1" applyBorder="1" applyAlignment="1">
      <alignment horizontal="center" vertical="center" wrapText="1"/>
    </xf>
    <xf numFmtId="3" fontId="57" fillId="0" borderId="60" xfId="74" applyNumberFormat="1" applyFont="1" applyBorder="1"/>
    <xf numFmtId="3" fontId="58" fillId="0" borderId="60" xfId="74" applyNumberFormat="1" applyFont="1" applyBorder="1"/>
    <xf numFmtId="3" fontId="68" fillId="0" borderId="60" xfId="0" applyNumberFormat="1" applyFont="1" applyBorder="1"/>
    <xf numFmtId="3" fontId="66" fillId="0" borderId="60" xfId="0" applyNumberFormat="1" applyFont="1" applyBorder="1"/>
    <xf numFmtId="3" fontId="28" fillId="0" borderId="60" xfId="0" applyNumberFormat="1" applyFont="1" applyBorder="1"/>
    <xf numFmtId="3" fontId="64" fillId="0" borderId="60" xfId="0" applyNumberFormat="1" applyFont="1" applyBorder="1" applyAlignment="1">
      <alignment wrapText="1"/>
    </xf>
    <xf numFmtId="0" fontId="35" fillId="0" borderId="60" xfId="0" applyFont="1" applyBorder="1"/>
    <xf numFmtId="0" fontId="66" fillId="0" borderId="60" xfId="0" applyFont="1" applyBorder="1"/>
    <xf numFmtId="0" fontId="30" fillId="0" borderId="60" xfId="0" applyFont="1" applyBorder="1"/>
    <xf numFmtId="0" fontId="25" fillId="0" borderId="123" xfId="0" applyFont="1" applyBorder="1" applyAlignment="1">
      <alignment horizontal="center" vertical="center"/>
    </xf>
    <xf numFmtId="0" fontId="25" fillId="0" borderId="106" xfId="0" applyFont="1" applyBorder="1" applyAlignment="1">
      <alignment horizontal="center" vertical="center"/>
    </xf>
    <xf numFmtId="0" fontId="25" fillId="0" borderId="138" xfId="0" applyFont="1" applyBorder="1" applyAlignment="1">
      <alignment horizontal="center" vertical="center"/>
    </xf>
    <xf numFmtId="3" fontId="25" fillId="0" borderId="139" xfId="0" applyNumberFormat="1" applyFont="1" applyBorder="1" applyAlignment="1">
      <alignment horizontal="center" vertical="center"/>
    </xf>
    <xf numFmtId="3" fontId="30" fillId="0" borderId="56" xfId="0" applyNumberFormat="1" applyFont="1" applyBorder="1"/>
    <xf numFmtId="3" fontId="96" fillId="0" borderId="0" xfId="0" applyNumberFormat="1" applyFont="1" applyBorder="1"/>
    <xf numFmtId="3" fontId="63" fillId="0" borderId="0" xfId="74" applyNumberFormat="1" applyFont="1" applyBorder="1"/>
    <xf numFmtId="0" fontId="28" fillId="0" borderId="140" xfId="0" applyFont="1" applyBorder="1" applyAlignment="1">
      <alignment horizontal="center" vertical="center" wrapText="1"/>
    </xf>
    <xf numFmtId="0" fontId="28" fillId="0" borderId="141" xfId="0" applyFont="1" applyBorder="1" applyAlignment="1">
      <alignment horizontal="center" vertical="center" wrapText="1"/>
    </xf>
    <xf numFmtId="0" fontId="28" fillId="0" borderId="142" xfId="0" applyFont="1" applyBorder="1" applyAlignment="1">
      <alignment horizontal="center" vertical="center" wrapText="1"/>
    </xf>
    <xf numFmtId="0" fontId="25" fillId="0" borderId="109" xfId="0" applyFont="1" applyBorder="1" applyAlignment="1">
      <alignment horizontal="center" vertical="center" wrapText="1"/>
    </xf>
    <xf numFmtId="3" fontId="25" fillId="0" borderId="143" xfId="0" applyNumberFormat="1" applyFont="1" applyBorder="1" applyAlignment="1">
      <alignment horizontal="center" vertical="center" wrapText="1"/>
    </xf>
    <xf numFmtId="3" fontId="25" fillId="0" borderId="77" xfId="0" applyNumberFormat="1" applyFont="1" applyBorder="1"/>
    <xf numFmtId="3" fontId="93" fillId="0" borderId="74" xfId="0" applyNumberFormat="1" applyFont="1" applyBorder="1" applyAlignment="1">
      <alignment horizontal="center" vertical="center" wrapText="1"/>
    </xf>
    <xf numFmtId="3" fontId="93" fillId="0" borderId="75" xfId="0" applyNumberFormat="1" applyFont="1" applyBorder="1" applyAlignment="1">
      <alignment horizontal="center" vertical="center" wrapText="1"/>
    </xf>
    <xf numFmtId="0" fontId="25" fillId="0" borderId="76" xfId="0" applyFont="1" applyBorder="1" applyAlignment="1">
      <alignment horizontal="center" vertical="center"/>
    </xf>
    <xf numFmtId="0" fontId="25" fillId="0" borderId="90" xfId="0" applyFont="1" applyBorder="1" applyAlignment="1">
      <alignment horizontal="center" vertical="center"/>
    </xf>
    <xf numFmtId="0" fontId="28" fillId="0" borderId="25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45" xfId="0" applyFont="1" applyBorder="1" applyAlignment="1">
      <alignment horizontal="center" vertical="center" wrapText="1"/>
    </xf>
    <xf numFmtId="3" fontId="38" fillId="0" borderId="60" xfId="0" applyNumberFormat="1" applyFont="1" applyBorder="1"/>
    <xf numFmtId="3" fontId="25" fillId="0" borderId="41" xfId="0" applyNumberFormat="1" applyFont="1" applyBorder="1" applyAlignment="1">
      <alignment horizontal="center" vertical="center"/>
    </xf>
    <xf numFmtId="3" fontId="25" fillId="0" borderId="142" xfId="0" applyNumberFormat="1" applyFont="1" applyBorder="1" applyAlignment="1">
      <alignment horizontal="center" vertical="center" wrapText="1"/>
    </xf>
    <xf numFmtId="3" fontId="64" fillId="0" borderId="22" xfId="0" applyNumberFormat="1" applyFont="1" applyBorder="1"/>
    <xf numFmtId="3" fontId="92" fillId="0" borderId="22" xfId="0" applyNumberFormat="1" applyFont="1" applyBorder="1"/>
    <xf numFmtId="3" fontId="28" fillId="0" borderId="22" xfId="0" applyNumberFormat="1" applyFont="1" applyBorder="1"/>
    <xf numFmtId="3" fontId="34" fillId="0" borderId="22" xfId="0" applyNumberFormat="1" applyFont="1" applyBorder="1"/>
    <xf numFmtId="3" fontId="68" fillId="0" borderId="22" xfId="0" applyNumberFormat="1" applyFont="1" applyBorder="1"/>
    <xf numFmtId="3" fontId="25" fillId="0" borderId="22" xfId="0" applyNumberFormat="1" applyFont="1" applyBorder="1"/>
    <xf numFmtId="3" fontId="57" fillId="0" borderId="22" xfId="0" applyNumberFormat="1" applyFont="1" applyBorder="1" applyAlignment="1">
      <alignment wrapText="1"/>
    </xf>
    <xf numFmtId="0" fontId="57" fillId="0" borderId="22" xfId="0" applyFont="1" applyBorder="1"/>
    <xf numFmtId="3" fontId="25" fillId="0" borderId="143" xfId="0" applyNumberFormat="1" applyFont="1" applyBorder="1" applyAlignment="1">
      <alignment horizontal="center" vertical="center"/>
    </xf>
    <xf numFmtId="0" fontId="25" fillId="0" borderId="139" xfId="0" applyFont="1" applyBorder="1" applyAlignment="1">
      <alignment horizontal="center" vertical="center"/>
    </xf>
    <xf numFmtId="0" fontId="25" fillId="0" borderId="84" xfId="0" applyFont="1" applyBorder="1" applyAlignment="1">
      <alignment horizontal="center" vertical="center"/>
    </xf>
    <xf numFmtId="0" fontId="25" fillId="0" borderId="142" xfId="0" applyFont="1" applyBorder="1" applyAlignment="1">
      <alignment horizontal="center" vertical="center"/>
    </xf>
    <xf numFmtId="0" fontId="64" fillId="0" borderId="22" xfId="0" applyFont="1" applyBorder="1"/>
    <xf numFmtId="0" fontId="57" fillId="0" borderId="22" xfId="0" applyFont="1" applyBorder="1" applyAlignment="1">
      <alignment wrapText="1"/>
    </xf>
    <xf numFmtId="0" fontId="63" fillId="0" borderId="22" xfId="0" applyFont="1" applyBorder="1"/>
    <xf numFmtId="0" fontId="28" fillId="0" borderId="22" xfId="0" applyFont="1" applyBorder="1"/>
    <xf numFmtId="0" fontId="34" fillId="0" borderId="22" xfId="0" applyFont="1" applyBorder="1"/>
    <xf numFmtId="3" fontId="63" fillId="0" borderId="60" xfId="74" applyNumberFormat="1" applyFont="1" applyBorder="1"/>
    <xf numFmtId="0" fontId="68" fillId="0" borderId="22" xfId="0" applyFont="1" applyBorder="1"/>
    <xf numFmtId="0" fontId="25" fillId="0" borderId="22" xfId="0" applyFont="1" applyBorder="1"/>
    <xf numFmtId="0" fontId="28" fillId="0" borderId="26" xfId="0" applyFont="1" applyBorder="1" applyAlignment="1">
      <alignment horizontal="center" vertical="center"/>
    </xf>
    <xf numFmtId="3" fontId="82" fillId="0" borderId="22" xfId="0" applyNumberFormat="1" applyFont="1" applyBorder="1"/>
    <xf numFmtId="3" fontId="35" fillId="0" borderId="22" xfId="0" applyNumberFormat="1" applyFont="1" applyBorder="1"/>
    <xf numFmtId="3" fontId="39" fillId="0" borderId="22" xfId="0" applyNumberFormat="1" applyFont="1" applyBorder="1"/>
    <xf numFmtId="3" fontId="59" fillId="0" borderId="22" xfId="0" applyNumberFormat="1" applyFont="1" applyBorder="1"/>
    <xf numFmtId="3" fontId="138" fillId="0" borderId="22" xfId="0" applyNumberFormat="1" applyFont="1" applyBorder="1"/>
    <xf numFmtId="3" fontId="30" fillId="0" borderId="22" xfId="0" applyNumberFormat="1" applyFont="1" applyBorder="1"/>
    <xf numFmtId="3" fontId="58" fillId="0" borderId="22" xfId="0" applyNumberFormat="1" applyFont="1" applyBorder="1" applyAlignment="1">
      <alignment wrapText="1"/>
    </xf>
    <xf numFmtId="0" fontId="58" fillId="0" borderId="22" xfId="0" applyFont="1" applyBorder="1"/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57"/>
  <sheetViews>
    <sheetView tabSelected="1" topLeftCell="A31" zoomScale="120" workbookViewId="0">
      <selection activeCell="V55" sqref="V54:V55"/>
    </sheetView>
  </sheetViews>
  <sheetFormatPr defaultColWidth="9.140625" defaultRowHeight="11.25" x14ac:dyDescent="0.2"/>
  <cols>
    <col min="1" max="1" width="3.85546875" style="119" customWidth="1"/>
    <col min="2" max="2" width="36.28515625" style="119" customWidth="1"/>
    <col min="3" max="4" width="12" style="120" customWidth="1"/>
    <col min="5" max="5" width="12.140625" style="120" customWidth="1"/>
    <col min="6" max="6" width="11.85546875" style="120" customWidth="1"/>
    <col min="7" max="9" width="12.140625" style="120" customWidth="1"/>
    <col min="10" max="10" width="12" style="120" customWidth="1"/>
    <col min="11" max="11" width="36.85546875" style="120" customWidth="1"/>
    <col min="12" max="13" width="12" style="120" customWidth="1"/>
    <col min="14" max="14" width="12.140625" style="120" customWidth="1"/>
    <col min="15" max="15" width="12" style="119" customWidth="1"/>
    <col min="16" max="16" width="11.85546875" style="119" customWidth="1"/>
    <col min="17" max="19" width="12" style="119" customWidth="1"/>
    <col min="20" max="24" width="9.140625" style="119"/>
    <col min="25" max="16384" width="9.140625" style="10"/>
  </cols>
  <sheetData>
    <row r="1" spans="1:24" ht="12.75" customHeight="1" x14ac:dyDescent="0.2">
      <c r="A1" s="1214" t="s">
        <v>1317</v>
      </c>
      <c r="B1" s="1214"/>
      <c r="C1" s="1214"/>
      <c r="D1" s="1214"/>
      <c r="E1" s="1214"/>
      <c r="F1" s="1214"/>
      <c r="G1" s="1214"/>
      <c r="H1" s="1214"/>
      <c r="I1" s="1214"/>
      <c r="J1" s="1214"/>
      <c r="K1" s="1214"/>
      <c r="L1" s="1214"/>
      <c r="M1" s="1214"/>
      <c r="N1" s="1214"/>
      <c r="O1" s="1214"/>
      <c r="P1" s="1214"/>
      <c r="Q1" s="1214"/>
      <c r="R1" s="1214"/>
      <c r="S1" s="1214"/>
    </row>
    <row r="2" spans="1:24" ht="20.25" x14ac:dyDescent="0.3">
      <c r="B2" s="614"/>
      <c r="N2" s="121"/>
    </row>
    <row r="3" spans="1:24" s="99" customFormat="1" ht="12.75" customHeight="1" x14ac:dyDescent="0.2">
      <c r="A3" s="1215" t="s">
        <v>54</v>
      </c>
      <c r="B3" s="1215"/>
      <c r="C3" s="1215"/>
      <c r="D3" s="1215"/>
      <c r="E3" s="1215"/>
      <c r="F3" s="1215"/>
      <c r="G3" s="1215"/>
      <c r="H3" s="1215"/>
      <c r="I3" s="1215"/>
      <c r="J3" s="1215"/>
      <c r="K3" s="1215"/>
      <c r="L3" s="1215"/>
      <c r="M3" s="1215"/>
      <c r="N3" s="1215"/>
      <c r="O3" s="1215"/>
      <c r="P3" s="1215"/>
      <c r="Q3" s="1215"/>
      <c r="R3" s="1215"/>
      <c r="S3" s="1215"/>
      <c r="T3" s="122"/>
      <c r="U3" s="122"/>
      <c r="V3" s="122"/>
      <c r="W3" s="122"/>
      <c r="X3" s="122"/>
    </row>
    <row r="4" spans="1:24" s="99" customFormat="1" x14ac:dyDescent="0.2">
      <c r="A4" s="122"/>
      <c r="B4" s="1225" t="s">
        <v>1097</v>
      </c>
      <c r="C4" s="1225"/>
      <c r="D4" s="1225"/>
      <c r="E4" s="1225"/>
      <c r="F4" s="1225"/>
      <c r="G4" s="1225"/>
      <c r="H4" s="1225"/>
      <c r="I4" s="1225"/>
      <c r="J4" s="1225"/>
      <c r="K4" s="1225"/>
      <c r="L4" s="1225"/>
      <c r="M4" s="1225"/>
      <c r="N4" s="1225"/>
      <c r="O4" s="1225"/>
      <c r="P4" s="1225"/>
      <c r="Q4" s="1225"/>
      <c r="R4" s="1225"/>
      <c r="S4" s="1225"/>
      <c r="T4" s="122"/>
      <c r="U4" s="122"/>
      <c r="V4" s="122"/>
      <c r="W4" s="122"/>
      <c r="X4" s="122"/>
    </row>
    <row r="5" spans="1:24" s="99" customFormat="1" x14ac:dyDescent="0.2">
      <c r="A5" s="122"/>
      <c r="B5" s="1226" t="s">
        <v>316</v>
      </c>
      <c r="C5" s="1226"/>
      <c r="D5" s="1226"/>
      <c r="E5" s="1226"/>
      <c r="F5" s="1226"/>
      <c r="G5" s="1226"/>
      <c r="H5" s="1226"/>
      <c r="I5" s="1226"/>
      <c r="J5" s="1226"/>
      <c r="K5" s="1226"/>
      <c r="L5" s="1226"/>
      <c r="M5" s="1226"/>
      <c r="N5" s="1226"/>
      <c r="O5" s="1226"/>
      <c r="P5" s="1226"/>
      <c r="Q5" s="1226"/>
      <c r="R5" s="1226"/>
      <c r="S5" s="1226"/>
      <c r="T5" s="122"/>
      <c r="U5" s="122"/>
      <c r="V5" s="122"/>
      <c r="W5" s="122"/>
      <c r="X5" s="122"/>
    </row>
    <row r="6" spans="1:24" s="99" customFormat="1" ht="12.75" customHeight="1" x14ac:dyDescent="0.2">
      <c r="A6" s="1287" t="s">
        <v>56</v>
      </c>
      <c r="B6" s="1436" t="s">
        <v>57</v>
      </c>
      <c r="C6" s="1221" t="s">
        <v>58</v>
      </c>
      <c r="D6" s="1221"/>
      <c r="E6" s="1221"/>
      <c r="F6" s="1221"/>
      <c r="G6" s="1221"/>
      <c r="H6" s="1221"/>
      <c r="I6" s="1221"/>
      <c r="J6" s="1221"/>
      <c r="K6" s="1221" t="s">
        <v>59</v>
      </c>
      <c r="L6" s="1227" t="s">
        <v>60</v>
      </c>
      <c r="M6" s="1227"/>
      <c r="N6" s="1227"/>
      <c r="O6" s="1227"/>
      <c r="P6" s="1227"/>
      <c r="Q6" s="1227"/>
      <c r="R6" s="1227"/>
      <c r="S6" s="1227"/>
    </row>
    <row r="7" spans="1:24" s="99" customFormat="1" ht="12.75" customHeight="1" x14ac:dyDescent="0.2">
      <c r="A7" s="1287"/>
      <c r="B7" s="1436"/>
      <c r="C7" s="1230" t="s">
        <v>1316</v>
      </c>
      <c r="D7" s="1230"/>
      <c r="E7" s="1230"/>
      <c r="F7" s="1230" t="s">
        <v>1293</v>
      </c>
      <c r="G7" s="1230"/>
      <c r="H7" s="1230" t="s">
        <v>1315</v>
      </c>
      <c r="I7" s="1230"/>
      <c r="J7" s="1230"/>
      <c r="K7" s="1221"/>
      <c r="L7" s="1230" t="s">
        <v>1316</v>
      </c>
      <c r="M7" s="1230"/>
      <c r="N7" s="1230"/>
      <c r="O7" s="1513" t="s">
        <v>1293</v>
      </c>
      <c r="P7" s="1513"/>
      <c r="Q7" s="1513" t="s">
        <v>1315</v>
      </c>
      <c r="R7" s="1513"/>
      <c r="S7" s="1513"/>
    </row>
    <row r="8" spans="1:24" s="100" customFormat="1" ht="36.6" customHeight="1" x14ac:dyDescent="0.2">
      <c r="A8" s="1287"/>
      <c r="B8" s="1212" t="s">
        <v>61</v>
      </c>
      <c r="C8" s="757" t="s">
        <v>62</v>
      </c>
      <c r="D8" s="757" t="s">
        <v>63</v>
      </c>
      <c r="E8" s="757" t="s">
        <v>64</v>
      </c>
      <c r="F8" s="757" t="s">
        <v>62</v>
      </c>
      <c r="G8" s="757" t="s">
        <v>63</v>
      </c>
      <c r="H8" s="757" t="s">
        <v>62</v>
      </c>
      <c r="I8" s="757" t="s">
        <v>63</v>
      </c>
      <c r="J8" s="757" t="s">
        <v>64</v>
      </c>
      <c r="K8" s="1210" t="s">
        <v>65</v>
      </c>
      <c r="L8" s="757" t="s">
        <v>62</v>
      </c>
      <c r="M8" s="757" t="s">
        <v>63</v>
      </c>
      <c r="N8" s="757" t="s">
        <v>64</v>
      </c>
      <c r="O8" s="757" t="s">
        <v>62</v>
      </c>
      <c r="P8" s="757" t="s">
        <v>63</v>
      </c>
      <c r="Q8" s="757" t="s">
        <v>62</v>
      </c>
      <c r="R8" s="757" t="s">
        <v>63</v>
      </c>
      <c r="S8" s="757" t="s">
        <v>64</v>
      </c>
    </row>
    <row r="9" spans="1:24" ht="11.45" customHeight="1" x14ac:dyDescent="0.2">
      <c r="A9" s="746">
        <v>1</v>
      </c>
      <c r="B9" s="1488" t="s">
        <v>24</v>
      </c>
      <c r="C9" s="127"/>
      <c r="D9" s="127"/>
      <c r="E9" s="127"/>
      <c r="F9" s="127"/>
      <c r="G9" s="127"/>
      <c r="H9" s="127"/>
      <c r="I9" s="127"/>
      <c r="J9" s="1516"/>
      <c r="K9" s="1580" t="s">
        <v>25</v>
      </c>
      <c r="L9" s="127"/>
      <c r="M9" s="127"/>
      <c r="N9" s="125"/>
      <c r="O9" s="1492"/>
      <c r="P9" s="1492"/>
      <c r="Q9" s="1492"/>
      <c r="R9" s="1492"/>
      <c r="S9" s="1554"/>
      <c r="T9" s="10"/>
      <c r="U9" s="10"/>
      <c r="V9" s="10"/>
      <c r="W9" s="10"/>
      <c r="X9" s="10"/>
    </row>
    <row r="10" spans="1:24" x14ac:dyDescent="0.2">
      <c r="A10" s="1544">
        <f t="shared" ref="A10:A55" si="0">A9+1</f>
        <v>2</v>
      </c>
      <c r="B10" s="124" t="s">
        <v>205</v>
      </c>
      <c r="C10" s="203"/>
      <c r="D10" s="203"/>
      <c r="E10" s="203"/>
      <c r="F10" s="203"/>
      <c r="G10" s="203"/>
      <c r="H10" s="203"/>
      <c r="I10" s="203"/>
      <c r="J10" s="349"/>
      <c r="K10" s="359" t="s">
        <v>223</v>
      </c>
      <c r="L10" s="203">
        <f>'pü.mérleg Önkorm.'!L10+'pü.mérleg Hivatal'!M12+'püm. GAMESZ. '!L12+'püm-TASZII.'!L12+püm.Brunszvik!L12+'püm Festetics'!L12</f>
        <v>577178</v>
      </c>
      <c r="M10" s="203">
        <f>'pü.mérleg Önkorm.'!M10+'pü.mérleg Hivatal'!N12+'püm. GAMESZ. '!M12+'püm-TASZII.'!M12+püm.Brunszvik!M12+'püm Festetics'!M12</f>
        <v>379706</v>
      </c>
      <c r="N10" s="1491">
        <f>SUM(L10:M10)</f>
        <v>956884</v>
      </c>
      <c r="O10" s="125">
        <v>15655</v>
      </c>
      <c r="P10" s="125">
        <v>9158</v>
      </c>
      <c r="Q10" s="125">
        <f>L10+O10</f>
        <v>592833</v>
      </c>
      <c r="R10" s="125">
        <f>M10+P10</f>
        <v>388864</v>
      </c>
      <c r="S10" s="1530">
        <f>Q10+R10</f>
        <v>981697</v>
      </c>
      <c r="T10" s="10"/>
      <c r="U10" s="10"/>
      <c r="V10" s="10"/>
      <c r="W10" s="10"/>
      <c r="X10" s="10"/>
    </row>
    <row r="11" spans="1:24" x14ac:dyDescent="0.2">
      <c r="A11" s="1544">
        <f t="shared" si="0"/>
        <v>3</v>
      </c>
      <c r="B11" s="124" t="s">
        <v>199</v>
      </c>
      <c r="C11" s="203">
        <f>'tám, végl. pe.átv  '!C11+'tám, végl. pe.átv  '!C17+'tám, végl. pe.átv  '!C18</f>
        <v>734518</v>
      </c>
      <c r="D11" s="203">
        <f>'tám, végl. pe.átv  '!D11+'tám, végl. pe.átv  '!D17+'tám, végl. pe.átv  '!D18</f>
        <v>93769</v>
      </c>
      <c r="E11" s="203">
        <f>'tám, végl. pe.átv  '!E11+'tám, végl. pe.átv  '!E17+'tám, végl. pe.átv  '!E18</f>
        <v>828287</v>
      </c>
      <c r="F11" s="203">
        <v>9392</v>
      </c>
      <c r="G11" s="203">
        <v>10244</v>
      </c>
      <c r="H11" s="203">
        <f>C11+F11</f>
        <v>743910</v>
      </c>
      <c r="I11" s="203">
        <f>D11+G11</f>
        <v>104013</v>
      </c>
      <c r="J11" s="349">
        <f>H11+I11</f>
        <v>847923</v>
      </c>
      <c r="K11" s="1601" t="s">
        <v>224</v>
      </c>
      <c r="L11" s="203">
        <f>'pü.mérleg Önkorm.'!L11+'pü.mérleg Hivatal'!M13+'püm. GAMESZ. '!L13+püm.Brunszvik!L13+'püm-TASZII.'!L13+'püm Festetics'!L13</f>
        <v>128496</v>
      </c>
      <c r="M11" s="203">
        <f>'pü.mérleg Önkorm.'!M11+'pü.mérleg Hivatal'!N13+'püm. GAMESZ. '!M13+püm.Brunszvik!M13+'püm-TASZII.'!M13+'püm Festetics'!M13</f>
        <v>89973</v>
      </c>
      <c r="N11" s="203">
        <f>SUM(L11:M11)</f>
        <v>218469</v>
      </c>
      <c r="O11" s="125">
        <v>2855</v>
      </c>
      <c r="P11" s="125">
        <v>1667</v>
      </c>
      <c r="Q11" s="125">
        <f t="shared" ref="Q11:Q21" si="1">L11+O11</f>
        <v>131351</v>
      </c>
      <c r="R11" s="125">
        <f t="shared" ref="R11:R21" si="2">M11+P11</f>
        <v>91640</v>
      </c>
      <c r="S11" s="1530">
        <f t="shared" ref="S11:S21" si="3">Q11+R11</f>
        <v>222991</v>
      </c>
      <c r="T11" s="209"/>
      <c r="U11" s="10"/>
      <c r="V11" s="10"/>
      <c r="W11" s="10"/>
      <c r="X11" s="10"/>
    </row>
    <row r="12" spans="1:24" x14ac:dyDescent="0.2">
      <c r="A12" s="1544">
        <f t="shared" si="0"/>
        <v>4</v>
      </c>
      <c r="B12" s="124" t="s">
        <v>197</v>
      </c>
      <c r="C12" s="203">
        <f>'pü.mérleg Önkorm.'!C12</f>
        <v>0</v>
      </c>
      <c r="D12" s="203">
        <f>'pü.mérleg Önkorm.'!D12</f>
        <v>0</v>
      </c>
      <c r="E12" s="203">
        <f>'pü.mérleg Önkorm.'!E12</f>
        <v>0</v>
      </c>
      <c r="F12" s="203"/>
      <c r="G12" s="203"/>
      <c r="H12" s="203"/>
      <c r="I12" s="203"/>
      <c r="J12" s="349"/>
      <c r="K12" s="359" t="s">
        <v>225</v>
      </c>
      <c r="L12" s="203">
        <f>'pü.mérleg Önkorm.'!L12+'pü.mérleg Hivatal'!M14+'püm. GAMESZ. '!L14+püm.Brunszvik!L14+'püm-TASZII.'!L14+'püm Festetics'!L14</f>
        <v>586524</v>
      </c>
      <c r="M12" s="203">
        <f>'pü.mérleg Önkorm.'!M12+'pü.mérleg Hivatal'!N14+'püm. GAMESZ. '!M14+püm.Brunszvik!M14+'püm-TASZII.'!M14+'püm Festetics'!M14</f>
        <v>543413</v>
      </c>
      <c r="N12" s="203">
        <f>SUM(L12:M12)</f>
        <v>1129937</v>
      </c>
      <c r="O12" s="125">
        <v>270989</v>
      </c>
      <c r="P12" s="125">
        <v>49431</v>
      </c>
      <c r="Q12" s="125">
        <f t="shared" si="1"/>
        <v>857513</v>
      </c>
      <c r="R12" s="125">
        <f t="shared" si="2"/>
        <v>592844</v>
      </c>
      <c r="S12" s="1530">
        <f t="shared" si="3"/>
        <v>1450357</v>
      </c>
      <c r="T12" s="10"/>
      <c r="U12" s="10"/>
      <c r="V12" s="10"/>
      <c r="W12" s="10"/>
      <c r="X12" s="10"/>
    </row>
    <row r="13" spans="1:24" ht="12" customHeight="1" x14ac:dyDescent="0.2">
      <c r="A13" s="1544">
        <f t="shared" si="0"/>
        <v>5</v>
      </c>
      <c r="B13" s="1489" t="s">
        <v>200</v>
      </c>
      <c r="C13" s="203">
        <f>'tám, végl. pe.átv  '!C39+'tám, végl. pe.átv  '!C55+'tám, végl. pe.átv  '!C61+'tám, végl. pe.átv  '!C76</f>
        <v>31021</v>
      </c>
      <c r="D13" s="203">
        <f>'tám, végl. pe.átv  '!D39+'tám, végl. pe.átv  '!D55+'tám, végl. pe.átv  '!D61+'tám, végl. pe.átv  '!D76</f>
        <v>8994</v>
      </c>
      <c r="E13" s="203">
        <f>'tám, végl. pe.átv  '!E39+'tám, végl. pe.átv  '!E55+'tám, végl. pe.átv  '!E61+'tám, végl. pe.átv  '!E76</f>
        <v>40015</v>
      </c>
      <c r="F13" s="203">
        <v>9878</v>
      </c>
      <c r="G13" s="203">
        <v>8616</v>
      </c>
      <c r="H13" s="203">
        <f t="shared" ref="H13:H30" si="4">C13+F13</f>
        <v>40899</v>
      </c>
      <c r="I13" s="203">
        <f t="shared" ref="I13:I30" si="5">D13+G13</f>
        <v>17610</v>
      </c>
      <c r="J13" s="349">
        <f t="shared" ref="J13:J30" si="6">H13+I13</f>
        <v>58509</v>
      </c>
      <c r="K13" s="359"/>
      <c r="L13" s="203"/>
      <c r="M13" s="203"/>
      <c r="N13" s="1491"/>
      <c r="O13" s="125"/>
      <c r="P13" s="125"/>
      <c r="Q13" s="125"/>
      <c r="R13" s="125"/>
      <c r="S13" s="1530"/>
      <c r="T13" s="10"/>
      <c r="U13" s="10"/>
      <c r="V13" s="10"/>
      <c r="W13" s="10"/>
      <c r="X13" s="10"/>
    </row>
    <row r="14" spans="1:24" x14ac:dyDescent="0.2">
      <c r="A14" s="1544">
        <f t="shared" si="0"/>
        <v>6</v>
      </c>
      <c r="B14" s="124" t="s">
        <v>1279</v>
      </c>
      <c r="C14" s="203"/>
      <c r="D14" s="203"/>
      <c r="E14" s="203"/>
      <c r="F14" s="203"/>
      <c r="G14" s="203"/>
      <c r="H14" s="203"/>
      <c r="I14" s="203"/>
      <c r="J14" s="349"/>
      <c r="K14" s="359" t="s">
        <v>226</v>
      </c>
      <c r="L14" s="203">
        <f>'pü.mérleg Önkorm.'!L14+'pü.mérleg Hivatal'!M16</f>
        <v>3150</v>
      </c>
      <c r="M14" s="203">
        <f>'pü.mérleg Önkorm.'!M14+'pü.mérleg Hivatal'!N16</f>
        <v>10950</v>
      </c>
      <c r="N14" s="203">
        <f>'pü.mérleg Önkorm.'!N14+'pü.mérleg Hivatal'!O16</f>
        <v>14100</v>
      </c>
      <c r="O14" s="125">
        <v>-111</v>
      </c>
      <c r="P14" s="125"/>
      <c r="Q14" s="125">
        <f t="shared" si="1"/>
        <v>3039</v>
      </c>
      <c r="R14" s="125">
        <f t="shared" si="2"/>
        <v>10950</v>
      </c>
      <c r="S14" s="1530">
        <f t="shared" si="3"/>
        <v>13989</v>
      </c>
      <c r="T14" s="10"/>
      <c r="U14" s="10"/>
      <c r="V14" s="10"/>
      <c r="W14" s="10"/>
      <c r="X14" s="10"/>
    </row>
    <row r="15" spans="1:24" x14ac:dyDescent="0.2">
      <c r="A15" s="1544">
        <f t="shared" si="0"/>
        <v>7</v>
      </c>
      <c r="B15" s="124" t="s">
        <v>1277</v>
      </c>
      <c r="C15" s="203">
        <f>'pü.mérleg Önkorm.'!C15</f>
        <v>8750</v>
      </c>
      <c r="D15" s="203">
        <f>'pü.mérleg Önkorm.'!D15</f>
        <v>0</v>
      </c>
      <c r="E15" s="203">
        <f>'pü.mérleg Önkorm.'!E15</f>
        <v>8750</v>
      </c>
      <c r="F15" s="203"/>
      <c r="G15" s="203"/>
      <c r="H15" s="203">
        <f t="shared" si="4"/>
        <v>8750</v>
      </c>
      <c r="I15" s="203">
        <f t="shared" si="5"/>
        <v>0</v>
      </c>
      <c r="J15" s="349">
        <f t="shared" si="6"/>
        <v>8750</v>
      </c>
      <c r="K15" s="359"/>
      <c r="L15" s="203"/>
      <c r="M15" s="203"/>
      <c r="N15" s="203"/>
      <c r="O15" s="125"/>
      <c r="P15" s="125"/>
      <c r="Q15" s="125"/>
      <c r="R15" s="125"/>
      <c r="S15" s="1530"/>
      <c r="T15" s="10"/>
      <c r="U15" s="10"/>
      <c r="V15" s="10"/>
      <c r="W15" s="10"/>
      <c r="X15" s="10"/>
    </row>
    <row r="16" spans="1:24" x14ac:dyDescent="0.2">
      <c r="A16" s="1544">
        <f t="shared" si="0"/>
        <v>8</v>
      </c>
      <c r="B16" s="1490" t="s">
        <v>1278</v>
      </c>
      <c r="C16" s="203">
        <f>'pü.mérleg Önkorm.'!C16+'pü.mérleg Hivatal'!D16+'püm. GAMESZ. '!C16+püm.Brunszvik!C16+'püm Festetics'!C16+'püm-TASZII.'!C16</f>
        <v>0</v>
      </c>
      <c r="D16" s="203">
        <f>'pü.mérleg Önkorm.'!D16+'pü.mérleg Hivatal'!E16+'püm. GAMESZ. '!D16+püm.Brunszvik!D16+'püm Festetics'!D16+'püm-TASZII.'!D16</f>
        <v>93253</v>
      </c>
      <c r="E16" s="203">
        <f>'pü.mérleg Önkorm.'!E16+'pü.mérleg Hivatal'!F16+'püm. GAMESZ. '!E16+püm.Brunszvik!E16+'püm Festetics'!E16+'püm-TASZII.'!E16</f>
        <v>93253</v>
      </c>
      <c r="F16" s="203"/>
      <c r="G16" s="203"/>
      <c r="H16" s="203">
        <f t="shared" si="4"/>
        <v>0</v>
      </c>
      <c r="I16" s="203">
        <f t="shared" si="5"/>
        <v>93253</v>
      </c>
      <c r="J16" s="349">
        <f t="shared" si="6"/>
        <v>93253</v>
      </c>
      <c r="K16" s="359" t="s">
        <v>227</v>
      </c>
      <c r="L16" s="1506"/>
      <c r="M16" s="1506"/>
      <c r="N16" s="1491"/>
      <c r="O16" s="125"/>
      <c r="P16" s="125"/>
      <c r="Q16" s="125"/>
      <c r="R16" s="125"/>
      <c r="S16" s="1530"/>
      <c r="T16" s="10"/>
      <c r="U16" s="10"/>
      <c r="V16" s="10"/>
      <c r="W16" s="10"/>
      <c r="X16" s="10"/>
    </row>
    <row r="17" spans="1:24" x14ac:dyDescent="0.2">
      <c r="A17" s="1544">
        <f t="shared" si="0"/>
        <v>9</v>
      </c>
      <c r="B17" s="124" t="s">
        <v>201</v>
      </c>
      <c r="C17" s="203">
        <f>'pü.mérleg Önkorm.'!C17+'püm. GAMESZ. '!C18+püm.Brunszvik!C18+'püm-TASZII.'!C18+'pü.mérleg Hivatal'!D17+püm.Brunszvik!C18</f>
        <v>488486</v>
      </c>
      <c r="D17" s="203">
        <f>'mük. bev.Önkor és Hivatal '!F40</f>
        <v>746918</v>
      </c>
      <c r="E17" s="203">
        <f>SUM(C17:D17)</f>
        <v>1235404</v>
      </c>
      <c r="F17" s="203">
        <v>11558</v>
      </c>
      <c r="G17" s="203">
        <v>-11558</v>
      </c>
      <c r="H17" s="203">
        <f t="shared" si="4"/>
        <v>500044</v>
      </c>
      <c r="I17" s="203">
        <f t="shared" si="5"/>
        <v>735360</v>
      </c>
      <c r="J17" s="349">
        <f t="shared" si="6"/>
        <v>1235404</v>
      </c>
      <c r="K17" s="359" t="s">
        <v>228</v>
      </c>
      <c r="L17" s="203">
        <f>'pü.mérleg Önkorm.'!L17+'pü.mérleg Hivatal'!M18</f>
        <v>5780</v>
      </c>
      <c r="M17" s="203">
        <f>'pü.mérleg Önkorm.'!M17+'pü.mérleg Hivatal'!N18</f>
        <v>64147</v>
      </c>
      <c r="N17" s="203">
        <f>'pü.mérleg Önkorm.'!N17+'pü.mérleg Hivatal'!O18</f>
        <v>69927</v>
      </c>
      <c r="O17" s="125">
        <v>26557</v>
      </c>
      <c r="P17" s="125">
        <v>1653</v>
      </c>
      <c r="Q17" s="125">
        <f t="shared" si="1"/>
        <v>32337</v>
      </c>
      <c r="R17" s="125">
        <f t="shared" si="2"/>
        <v>65800</v>
      </c>
      <c r="S17" s="1530">
        <f t="shared" si="3"/>
        <v>98137</v>
      </c>
      <c r="T17" s="10"/>
      <c r="U17" s="10"/>
      <c r="V17" s="10"/>
      <c r="W17" s="10"/>
      <c r="X17" s="10"/>
    </row>
    <row r="18" spans="1:24" x14ac:dyDescent="0.2">
      <c r="A18" s="1544">
        <f t="shared" si="0"/>
        <v>10</v>
      </c>
      <c r="B18" s="126" t="s">
        <v>40</v>
      </c>
      <c r="C18" s="203">
        <f>'pü.mérleg Önkorm.'!C18+'püm. GAMESZ. '!C19+püm.Brunszvik!C19+'püm-TASZII.'!C19+'pü.mérleg Hivatal'!D18+püm.Brunszvik!C19</f>
        <v>0</v>
      </c>
      <c r="D18" s="1491"/>
      <c r="E18" s="1491"/>
      <c r="F18" s="1491"/>
      <c r="G18" s="1491"/>
      <c r="H18" s="203"/>
      <c r="I18" s="203"/>
      <c r="J18" s="349"/>
      <c r="K18" s="359" t="s">
        <v>229</v>
      </c>
      <c r="L18" s="203">
        <f>'pü.mérleg Önkorm.'!L18</f>
        <v>151335</v>
      </c>
      <c r="M18" s="203">
        <f>'pü.mérleg Önkorm.'!M18</f>
        <v>170783</v>
      </c>
      <c r="N18" s="203">
        <f>'pü.mérleg Önkorm.'!N18</f>
        <v>322118</v>
      </c>
      <c r="O18" s="125">
        <v>10839</v>
      </c>
      <c r="P18" s="125">
        <v>7005</v>
      </c>
      <c r="Q18" s="125">
        <f t="shared" si="1"/>
        <v>162174</v>
      </c>
      <c r="R18" s="125">
        <f t="shared" si="2"/>
        <v>177788</v>
      </c>
      <c r="S18" s="1530">
        <f t="shared" si="3"/>
        <v>339962</v>
      </c>
      <c r="T18" s="10"/>
      <c r="U18" s="10"/>
      <c r="V18" s="10"/>
      <c r="W18" s="10"/>
      <c r="X18" s="10"/>
    </row>
    <row r="19" spans="1:24" x14ac:dyDescent="0.2">
      <c r="A19" s="1544">
        <f t="shared" si="0"/>
        <v>11</v>
      </c>
      <c r="B19" s="126"/>
      <c r="C19" s="203"/>
      <c r="D19" s="1491"/>
      <c r="E19" s="1491"/>
      <c r="F19" s="1491"/>
      <c r="G19" s="1491"/>
      <c r="H19" s="203"/>
      <c r="I19" s="203"/>
      <c r="J19" s="349"/>
      <c r="K19" s="359" t="s">
        <v>230</v>
      </c>
      <c r="L19" s="203">
        <f>'pü.mérleg Önkorm.'!L19+'pü.mérleg Hivatal'!M20+'püm. GAMESZ. '!L20+püm.Brunszvik!L20+'püm Festetics'!L20+'püm-TASZII.'!L20</f>
        <v>451</v>
      </c>
      <c r="M19" s="203">
        <f>'pü.mérleg Önkorm.'!M19+'pü.mérleg Hivatal'!N20+'püm. GAMESZ. '!M20+püm.Brunszvik!M20+'püm Festetics'!M20+'püm-TASZII.'!M20</f>
        <v>0</v>
      </c>
      <c r="N19" s="203">
        <f>'pü.mérleg Önkorm.'!N19+'pü.mérleg Hivatal'!O20+'püm. GAMESZ. '!N20+püm.Brunszvik!N20+'püm Festetics'!N20+'püm-TASZII.'!N20</f>
        <v>451</v>
      </c>
      <c r="O19" s="125"/>
      <c r="P19" s="125"/>
      <c r="Q19" s="125">
        <f t="shared" si="1"/>
        <v>451</v>
      </c>
      <c r="R19" s="125">
        <f t="shared" si="2"/>
        <v>0</v>
      </c>
      <c r="S19" s="1530">
        <f t="shared" si="3"/>
        <v>451</v>
      </c>
      <c r="T19" s="10"/>
      <c r="U19" s="10"/>
      <c r="V19" s="10"/>
      <c r="W19" s="10"/>
      <c r="X19" s="10"/>
    </row>
    <row r="20" spans="1:24" x14ac:dyDescent="0.2">
      <c r="A20" s="1544">
        <f t="shared" si="0"/>
        <v>12</v>
      </c>
      <c r="B20" s="124" t="s">
        <v>202</v>
      </c>
      <c r="C20" s="203">
        <f>'pü.mérleg Önkorm.'!C20+'pü.mérleg Hivatal'!D20+'püm. GAMESZ. '!C20+püm.Brunszvik!C20+'püm-TASZII.'!C20+'püm Festetics'!C20</f>
        <v>164367</v>
      </c>
      <c r="D20" s="203">
        <f>'pü.mérleg Önkorm.'!D20+'pü.mérleg Hivatal'!E20+'püm. GAMESZ. '!D20+püm.Brunszvik!D20+'püm-TASZII.'!D20+'püm Festetics'!D20</f>
        <v>251560</v>
      </c>
      <c r="E20" s="203">
        <f>SUM(C20:D20)</f>
        <v>415927</v>
      </c>
      <c r="F20" s="203">
        <v>84158</v>
      </c>
      <c r="G20" s="203">
        <v>2938</v>
      </c>
      <c r="H20" s="203">
        <f t="shared" si="4"/>
        <v>248525</v>
      </c>
      <c r="I20" s="203">
        <f t="shared" si="5"/>
        <v>254498</v>
      </c>
      <c r="J20" s="349">
        <f t="shared" si="6"/>
        <v>503023</v>
      </c>
      <c r="K20" s="359" t="s">
        <v>231</v>
      </c>
      <c r="L20" s="203"/>
      <c r="M20" s="203">
        <f>'pü.mérleg Önkorm.'!M20</f>
        <v>32982</v>
      </c>
      <c r="N20" s="1491">
        <f>SUM(L20:M20)</f>
        <v>32982</v>
      </c>
      <c r="O20" s="125"/>
      <c r="P20" s="125">
        <v>-339</v>
      </c>
      <c r="Q20" s="125">
        <f t="shared" si="1"/>
        <v>0</v>
      </c>
      <c r="R20" s="125">
        <f t="shared" si="2"/>
        <v>32643</v>
      </c>
      <c r="S20" s="1530">
        <f t="shared" si="3"/>
        <v>32643</v>
      </c>
      <c r="T20" s="10"/>
      <c r="U20" s="10"/>
      <c r="V20" s="10"/>
      <c r="W20" s="10"/>
      <c r="X20" s="10"/>
    </row>
    <row r="21" spans="1:24" x14ac:dyDescent="0.2">
      <c r="A21" s="1544">
        <f t="shared" si="0"/>
        <v>13</v>
      </c>
      <c r="B21" s="1492"/>
      <c r="C21" s="1491"/>
      <c r="D21" s="1491"/>
      <c r="E21" s="1491"/>
      <c r="F21" s="1491"/>
      <c r="G21" s="1491"/>
      <c r="H21" s="203"/>
      <c r="I21" s="203"/>
      <c r="J21" s="349"/>
      <c r="K21" s="359" t="s">
        <v>232</v>
      </c>
      <c r="L21" s="203">
        <f>'pü.mérleg Önkorm.'!L21</f>
        <v>5124</v>
      </c>
      <c r="M21" s="203">
        <f>'pü.mérleg Önkorm.'!M21</f>
        <v>1571</v>
      </c>
      <c r="N21" s="1491">
        <f>SUM(L21:M21)</f>
        <v>6695</v>
      </c>
      <c r="O21" s="125">
        <v>-2128</v>
      </c>
      <c r="P21" s="125">
        <v>3685</v>
      </c>
      <c r="Q21" s="125">
        <f t="shared" si="1"/>
        <v>2996</v>
      </c>
      <c r="R21" s="125">
        <f t="shared" si="2"/>
        <v>5256</v>
      </c>
      <c r="S21" s="1530">
        <f t="shared" si="3"/>
        <v>8252</v>
      </c>
      <c r="T21" s="10"/>
      <c r="U21" s="10"/>
      <c r="V21" s="10"/>
      <c r="W21" s="10"/>
      <c r="X21" s="10"/>
    </row>
    <row r="22" spans="1:24" s="101" customFormat="1" x14ac:dyDescent="0.2">
      <c r="A22" s="1544">
        <f t="shared" si="0"/>
        <v>14</v>
      </c>
      <c r="B22" s="124" t="s">
        <v>204</v>
      </c>
      <c r="C22" s="1491"/>
      <c r="D22" s="1491"/>
      <c r="E22" s="1491"/>
      <c r="F22" s="1491"/>
      <c r="G22" s="1491"/>
      <c r="H22" s="203"/>
      <c r="I22" s="203"/>
      <c r="J22" s="349"/>
      <c r="K22" s="1602"/>
      <c r="L22" s="1506"/>
      <c r="M22" s="1506"/>
      <c r="N22" s="1506"/>
      <c r="O22" s="1507"/>
      <c r="P22" s="1507"/>
      <c r="Q22" s="1507"/>
      <c r="R22" s="1507"/>
      <c r="S22" s="1555"/>
    </row>
    <row r="23" spans="1:24" s="101" customFormat="1" x14ac:dyDescent="0.2">
      <c r="A23" s="1544">
        <f t="shared" si="0"/>
        <v>15</v>
      </c>
      <c r="B23" s="124" t="s">
        <v>203</v>
      </c>
      <c r="C23" s="1491"/>
      <c r="D23" s="1491"/>
      <c r="E23" s="1491"/>
      <c r="F23" s="1491"/>
      <c r="G23" s="1491"/>
      <c r="H23" s="203"/>
      <c r="I23" s="203"/>
      <c r="J23" s="349"/>
      <c r="K23" s="1602"/>
      <c r="L23" s="1506"/>
      <c r="M23" s="1506"/>
      <c r="N23" s="1506"/>
      <c r="O23" s="1507"/>
      <c r="P23" s="1507"/>
      <c r="Q23" s="1507"/>
      <c r="R23" s="1507"/>
      <c r="S23" s="1555"/>
    </row>
    <row r="24" spans="1:24" x14ac:dyDescent="0.2">
      <c r="A24" s="1544">
        <f t="shared" si="0"/>
        <v>16</v>
      </c>
      <c r="B24" s="124" t="s">
        <v>206</v>
      </c>
      <c r="C24" s="1493"/>
      <c r="D24" s="203">
        <f>'pü.mérleg Önkorm.'!D24+'pü.mérleg Hivatal'!E24+'püm. GAMESZ. '!D24+püm.Brunszvik!D24+'püm-TASZII.'!D24</f>
        <v>203461</v>
      </c>
      <c r="E24" s="1491">
        <f>SUM(C24:D24)</f>
        <v>203461</v>
      </c>
      <c r="F24" s="1491">
        <v>1070</v>
      </c>
      <c r="G24" s="1491">
        <v>477</v>
      </c>
      <c r="H24" s="203">
        <f t="shared" si="4"/>
        <v>1070</v>
      </c>
      <c r="I24" s="203">
        <f t="shared" si="5"/>
        <v>203938</v>
      </c>
      <c r="J24" s="349">
        <f t="shared" si="6"/>
        <v>205008</v>
      </c>
      <c r="K24" s="1603" t="s">
        <v>66</v>
      </c>
      <c r="L24" s="1509">
        <f>SUM(L10:L22)</f>
        <v>1458038</v>
      </c>
      <c r="M24" s="1509">
        <f>SUM(M10:M22)</f>
        <v>1293525</v>
      </c>
      <c r="N24" s="1509">
        <f>SUM(N10:N22)</f>
        <v>2751563</v>
      </c>
      <c r="O24" s="1509">
        <f t="shared" ref="O24:S24" si="7">SUM(O10:O22)</f>
        <v>324656</v>
      </c>
      <c r="P24" s="1509">
        <f t="shared" si="7"/>
        <v>72260</v>
      </c>
      <c r="Q24" s="1509">
        <f t="shared" si="7"/>
        <v>1782694</v>
      </c>
      <c r="R24" s="1509">
        <f t="shared" si="7"/>
        <v>1365785</v>
      </c>
      <c r="S24" s="1528">
        <f t="shared" si="7"/>
        <v>3148479</v>
      </c>
      <c r="T24" s="10"/>
      <c r="U24" s="10"/>
      <c r="V24" s="10"/>
      <c r="W24" s="10"/>
      <c r="X24" s="10"/>
    </row>
    <row r="25" spans="1:24" x14ac:dyDescent="0.2">
      <c r="A25" s="1544">
        <f t="shared" si="0"/>
        <v>17</v>
      </c>
      <c r="B25" s="124" t="s">
        <v>207</v>
      </c>
      <c r="C25" s="1491">
        <f>'felh. bev.  '!D13</f>
        <v>0</v>
      </c>
      <c r="D25" s="1491">
        <f>'felh. bev.  '!E13+'felh. bev.  '!E14+'felh. bev.  '!E43</f>
        <v>5553</v>
      </c>
      <c r="E25" s="1491">
        <f>'felh. bev.  '!F13+'felh. bev.  '!F14+'felh. bev.  '!F43</f>
        <v>5553</v>
      </c>
      <c r="F25" s="1491"/>
      <c r="G25" s="1491"/>
      <c r="H25" s="203">
        <f t="shared" si="4"/>
        <v>0</v>
      </c>
      <c r="I25" s="203">
        <f t="shared" si="5"/>
        <v>5553</v>
      </c>
      <c r="J25" s="349">
        <f t="shared" si="6"/>
        <v>5553</v>
      </c>
      <c r="K25" s="1602"/>
      <c r="L25" s="1506"/>
      <c r="M25" s="1506"/>
      <c r="N25" s="1506"/>
      <c r="O25" s="1492"/>
      <c r="P25" s="1492"/>
      <c r="Q25" s="1492"/>
      <c r="R25" s="1492"/>
      <c r="S25" s="1554"/>
      <c r="T25" s="10"/>
      <c r="U25" s="10"/>
      <c r="V25" s="10"/>
      <c r="W25" s="10"/>
      <c r="X25" s="10"/>
    </row>
    <row r="26" spans="1:24" x14ac:dyDescent="0.2">
      <c r="A26" s="1544">
        <f t="shared" si="0"/>
        <v>18</v>
      </c>
      <c r="B26" s="124" t="s">
        <v>208</v>
      </c>
      <c r="C26" s="1494"/>
      <c r="D26" s="203">
        <f>'pü.mérleg Önkorm.'!D26</f>
        <v>0</v>
      </c>
      <c r="E26" s="1491">
        <f>SUM(C26:D26)</f>
        <v>0</v>
      </c>
      <c r="F26" s="1491"/>
      <c r="G26" s="1491">
        <v>60</v>
      </c>
      <c r="H26" s="203">
        <f t="shared" si="4"/>
        <v>0</v>
      </c>
      <c r="I26" s="203">
        <f t="shared" si="5"/>
        <v>60</v>
      </c>
      <c r="J26" s="349">
        <f t="shared" si="6"/>
        <v>60</v>
      </c>
      <c r="K26" s="1604" t="s">
        <v>233</v>
      </c>
      <c r="L26" s="1510"/>
      <c r="M26" s="1510"/>
      <c r="N26" s="1506"/>
      <c r="O26" s="1492"/>
      <c r="P26" s="1492"/>
      <c r="Q26" s="1492"/>
      <c r="R26" s="1492"/>
      <c r="S26" s="1554"/>
      <c r="T26" s="10"/>
      <c r="U26" s="10"/>
      <c r="V26" s="10"/>
      <c r="W26" s="10"/>
      <c r="X26" s="10"/>
    </row>
    <row r="27" spans="1:24" x14ac:dyDescent="0.2">
      <c r="A27" s="1544">
        <f t="shared" si="0"/>
        <v>19</v>
      </c>
      <c r="B27" s="124" t="s">
        <v>209</v>
      </c>
      <c r="C27" s="203"/>
      <c r="D27" s="203"/>
      <c r="E27" s="203"/>
      <c r="F27" s="203"/>
      <c r="G27" s="203"/>
      <c r="H27" s="203"/>
      <c r="I27" s="203"/>
      <c r="J27" s="349"/>
      <c r="K27" s="359" t="s">
        <v>234</v>
      </c>
      <c r="L27" s="1506">
        <f>'pü.mérleg Önkorm.'!L27+'pü.mérleg Hivatal'!M27+'püm. GAMESZ. '!L27+'püm-TASZII.'!L27+püm.Brunszvik!L27+'püm Festetics'!L27</f>
        <v>2092394</v>
      </c>
      <c r="M27" s="1506">
        <f>'pü.mérleg Önkorm.'!M27+'pü.mérleg Hivatal'!N27+'püm. GAMESZ. '!M27+'püm-TASZII.'!M27+'püm Festetics'!M27</f>
        <v>162773</v>
      </c>
      <c r="N27" s="1506">
        <f>SUM(L27:M27)</f>
        <v>2255167</v>
      </c>
      <c r="O27" s="125">
        <v>-423328</v>
      </c>
      <c r="P27" s="125">
        <v>-20700</v>
      </c>
      <c r="Q27" s="125">
        <f>L27+O27</f>
        <v>1669066</v>
      </c>
      <c r="R27" s="125">
        <f>M27+P27</f>
        <v>142073</v>
      </c>
      <c r="S27" s="1530">
        <f>Q27+R27</f>
        <v>1811139</v>
      </c>
      <c r="T27" s="10"/>
      <c r="U27" s="10"/>
      <c r="V27" s="10"/>
      <c r="W27" s="10"/>
      <c r="X27" s="10"/>
    </row>
    <row r="28" spans="1:24" x14ac:dyDescent="0.2">
      <c r="A28" s="1544">
        <f t="shared" si="0"/>
        <v>20</v>
      </c>
      <c r="B28" s="124"/>
      <c r="C28" s="203"/>
      <c r="D28" s="203"/>
      <c r="E28" s="203"/>
      <c r="F28" s="203"/>
      <c r="G28" s="203"/>
      <c r="H28" s="203"/>
      <c r="I28" s="203"/>
      <c r="J28" s="349"/>
      <c r="K28" s="359" t="s">
        <v>235</v>
      </c>
      <c r="L28" s="1506">
        <f>'felhalm. kiad.  '!M27</f>
        <v>10448</v>
      </c>
      <c r="M28" s="1506">
        <f>'felhalm. kiad.  '!P27</f>
        <v>0</v>
      </c>
      <c r="N28" s="1506">
        <f>SUM(L28:M28)</f>
        <v>10448</v>
      </c>
      <c r="O28" s="1492">
        <v>502</v>
      </c>
      <c r="P28" s="1492"/>
      <c r="Q28" s="125">
        <f>L28+O28</f>
        <v>10950</v>
      </c>
      <c r="R28" s="125">
        <f>M28+P28</f>
        <v>0</v>
      </c>
      <c r="S28" s="1530">
        <f>Q28+R28</f>
        <v>10950</v>
      </c>
      <c r="T28" s="10"/>
      <c r="U28" s="10"/>
      <c r="V28" s="10"/>
      <c r="W28" s="10"/>
      <c r="X28" s="10"/>
    </row>
    <row r="29" spans="1:24" x14ac:dyDescent="0.2">
      <c r="A29" s="1544">
        <f t="shared" si="0"/>
        <v>21</v>
      </c>
      <c r="B29" s="124" t="s">
        <v>210</v>
      </c>
      <c r="C29" s="203">
        <f>'tám, végl. pe.átv  '!C49</f>
        <v>0</v>
      </c>
      <c r="D29" s="203">
        <f>'tám, végl. pe.átv  '!D49</f>
        <v>62024</v>
      </c>
      <c r="E29" s="203">
        <f>'tám, végl. pe.átv  '!E49</f>
        <v>62024</v>
      </c>
      <c r="F29" s="203">
        <v>1</v>
      </c>
      <c r="G29" s="203">
        <v>7231</v>
      </c>
      <c r="H29" s="203">
        <f t="shared" si="4"/>
        <v>1</v>
      </c>
      <c r="I29" s="203">
        <f t="shared" si="5"/>
        <v>69255</v>
      </c>
      <c r="J29" s="349">
        <f t="shared" si="6"/>
        <v>69256</v>
      </c>
      <c r="K29" s="359" t="s">
        <v>236</v>
      </c>
      <c r="L29" s="1506"/>
      <c r="M29" s="1506"/>
      <c r="N29" s="1506"/>
      <c r="O29" s="1492"/>
      <c r="P29" s="1492"/>
      <c r="Q29" s="125">
        <f t="shared" ref="Q29:Q33" si="8">L29+O29</f>
        <v>0</v>
      </c>
      <c r="R29" s="125">
        <f t="shared" ref="R29:R33" si="9">M29+P29</f>
        <v>0</v>
      </c>
      <c r="S29" s="1530">
        <f t="shared" ref="S29:S33" si="10">Q29+R29</f>
        <v>0</v>
      </c>
      <c r="T29" s="10"/>
      <c r="U29" s="10"/>
      <c r="V29" s="10"/>
      <c r="W29" s="10"/>
      <c r="X29" s="10"/>
    </row>
    <row r="30" spans="1:24" s="101" customFormat="1" x14ac:dyDescent="0.2">
      <c r="A30" s="1544">
        <f t="shared" si="0"/>
        <v>22</v>
      </c>
      <c r="B30" s="124" t="s">
        <v>211</v>
      </c>
      <c r="C30" s="203">
        <f>'felh. bev.  '!D33+'felh. bev.  '!D37</f>
        <v>0</v>
      </c>
      <c r="D30" s="203">
        <f>'felh. bev.  '!E33+'felh. bev.  '!E37</f>
        <v>2870</v>
      </c>
      <c r="E30" s="203">
        <f>'felh. bev.  '!F33+'felh. bev.  '!F37</f>
        <v>2870</v>
      </c>
      <c r="F30" s="203"/>
      <c r="G30" s="203">
        <v>2545</v>
      </c>
      <c r="H30" s="203">
        <f t="shared" si="4"/>
        <v>0</v>
      </c>
      <c r="I30" s="203">
        <f t="shared" si="5"/>
        <v>5415</v>
      </c>
      <c r="J30" s="349">
        <f t="shared" si="6"/>
        <v>5415</v>
      </c>
      <c r="K30" s="1601" t="s">
        <v>237</v>
      </c>
      <c r="L30" s="1506">
        <f>'felhalm. kiad.  '!M91</f>
        <v>0</v>
      </c>
      <c r="M30" s="1506">
        <f>'felhalm. kiad.  '!P91</f>
        <v>3238</v>
      </c>
      <c r="N30" s="1506">
        <f>SUM(L30:M30)</f>
        <v>3238</v>
      </c>
      <c r="O30" s="1492">
        <v>425451</v>
      </c>
      <c r="P30" s="1492"/>
      <c r="Q30" s="125">
        <f t="shared" si="8"/>
        <v>425451</v>
      </c>
      <c r="R30" s="125">
        <f t="shared" si="9"/>
        <v>3238</v>
      </c>
      <c r="S30" s="1530">
        <f t="shared" si="10"/>
        <v>428689</v>
      </c>
    </row>
    <row r="31" spans="1:24" s="101" customFormat="1" ht="12.75" customHeight="1" x14ac:dyDescent="0.2">
      <c r="A31" s="1544">
        <f t="shared" si="0"/>
        <v>23</v>
      </c>
      <c r="B31" s="124"/>
      <c r="C31" s="203"/>
      <c r="D31" s="203"/>
      <c r="E31" s="203"/>
      <c r="F31" s="203"/>
      <c r="G31" s="203"/>
      <c r="H31" s="203"/>
      <c r="I31" s="203"/>
      <c r="J31" s="349"/>
      <c r="K31" s="1601" t="s">
        <v>1318</v>
      </c>
      <c r="L31" s="1506"/>
      <c r="M31" s="1506"/>
      <c r="N31" s="1506"/>
      <c r="O31" s="1511"/>
      <c r="P31" s="125">
        <v>6000</v>
      </c>
      <c r="Q31" s="125">
        <f t="shared" si="8"/>
        <v>0</v>
      </c>
      <c r="R31" s="125">
        <f t="shared" si="9"/>
        <v>6000</v>
      </c>
      <c r="S31" s="1530">
        <f t="shared" si="10"/>
        <v>6000</v>
      </c>
    </row>
    <row r="32" spans="1:24" x14ac:dyDescent="0.2">
      <c r="A32" s="1544">
        <f t="shared" si="0"/>
        <v>24</v>
      </c>
      <c r="B32" s="1492"/>
      <c r="C32" s="203"/>
      <c r="D32" s="203"/>
      <c r="E32" s="203"/>
      <c r="F32" s="203"/>
      <c r="G32" s="203"/>
      <c r="H32" s="203"/>
      <c r="I32" s="203"/>
      <c r="J32" s="349"/>
      <c r="K32" s="1601" t="s">
        <v>287</v>
      </c>
      <c r="L32" s="1506">
        <f>'pü.mérleg Önkorm.'!L32+'pü.mérleg Hivatal'!M31+'püm. GAMESZ. '!L31+'püm-TASZII.'!L31</f>
        <v>48852</v>
      </c>
      <c r="M32" s="1506">
        <f>'pü.mérleg Önkorm.'!M32+'pü.mérleg Hivatal'!N31+'püm. GAMESZ. '!M31+'püm-TASZII.'!M31</f>
        <v>35520</v>
      </c>
      <c r="N32" s="1506">
        <f>SUM(L32:M32)</f>
        <v>84372</v>
      </c>
      <c r="O32" s="125">
        <v>88</v>
      </c>
      <c r="P32" s="125">
        <v>-3000</v>
      </c>
      <c r="Q32" s="125">
        <f t="shared" si="8"/>
        <v>48940</v>
      </c>
      <c r="R32" s="125">
        <f t="shared" si="9"/>
        <v>32520</v>
      </c>
      <c r="S32" s="1530">
        <f t="shared" si="10"/>
        <v>81460</v>
      </c>
      <c r="T32" s="10"/>
      <c r="U32" s="10"/>
      <c r="V32" s="10"/>
      <c r="W32" s="10"/>
      <c r="X32" s="10"/>
    </row>
    <row r="33" spans="1:24" s="11" customFormat="1" x14ac:dyDescent="0.2">
      <c r="A33" s="1544">
        <f t="shared" si="0"/>
        <v>25</v>
      </c>
      <c r="B33" s="1495" t="s">
        <v>52</v>
      </c>
      <c r="C33" s="1496">
        <f>C12+C20+C11+C17+C13+C29</f>
        <v>1418392</v>
      </c>
      <c r="D33" s="1496">
        <f>D12+D20+D11+D17+D13+D29</f>
        <v>1163265</v>
      </c>
      <c r="E33" s="1496">
        <f>E12+E20+E11+E17+E13+E29</f>
        <v>2581657</v>
      </c>
      <c r="F33" s="1496">
        <f t="shared" ref="F33:J33" si="11">F12+F20+F11+F17+F13+F29</f>
        <v>114987</v>
      </c>
      <c r="G33" s="1496">
        <f t="shared" si="11"/>
        <v>17471</v>
      </c>
      <c r="H33" s="1496">
        <f t="shared" si="11"/>
        <v>1533379</v>
      </c>
      <c r="I33" s="1496">
        <f t="shared" si="11"/>
        <v>1180736</v>
      </c>
      <c r="J33" s="1517">
        <f t="shared" si="11"/>
        <v>2714115</v>
      </c>
      <c r="K33" s="359" t="s">
        <v>288</v>
      </c>
      <c r="L33" s="1506">
        <f>tartalék!C21</f>
        <v>238734</v>
      </c>
      <c r="M33" s="1506">
        <f>tartalék!D21</f>
        <v>143934</v>
      </c>
      <c r="N33" s="1506">
        <f>tartalék!E21</f>
        <v>382668</v>
      </c>
      <c r="O33" s="125">
        <v>-211312</v>
      </c>
      <c r="P33" s="125">
        <v>-34007</v>
      </c>
      <c r="Q33" s="125">
        <f t="shared" si="8"/>
        <v>27422</v>
      </c>
      <c r="R33" s="125">
        <f t="shared" si="9"/>
        <v>109927</v>
      </c>
      <c r="S33" s="1530">
        <f t="shared" si="10"/>
        <v>137349</v>
      </c>
    </row>
    <row r="34" spans="1:24" x14ac:dyDescent="0.2">
      <c r="A34" s="1544">
        <f t="shared" si="0"/>
        <v>26</v>
      </c>
      <c r="B34" s="126" t="s">
        <v>67</v>
      </c>
      <c r="C34" s="1497">
        <f>C15+C16+C23+C24+C25+C26+C27+C30</f>
        <v>8750</v>
      </c>
      <c r="D34" s="1497">
        <f t="shared" ref="D34:J34" si="12">D15+D16+D23+D24+D25+D26+D27+D30</f>
        <v>305137</v>
      </c>
      <c r="E34" s="1497">
        <f t="shared" si="12"/>
        <v>313887</v>
      </c>
      <c r="F34" s="1497">
        <f t="shared" si="12"/>
        <v>1070</v>
      </c>
      <c r="G34" s="1497">
        <f t="shared" si="12"/>
        <v>3082</v>
      </c>
      <c r="H34" s="1497">
        <f t="shared" si="12"/>
        <v>9820</v>
      </c>
      <c r="I34" s="1497">
        <f t="shared" si="12"/>
        <v>308219</v>
      </c>
      <c r="J34" s="1518">
        <f t="shared" si="12"/>
        <v>318039</v>
      </c>
      <c r="K34" s="1605" t="s">
        <v>68</v>
      </c>
      <c r="L34" s="1509">
        <f>SUM(L27:L33)</f>
        <v>2390428</v>
      </c>
      <c r="M34" s="1509">
        <f>SUM(M27:M33)</f>
        <v>345465</v>
      </c>
      <c r="N34" s="1509">
        <f>SUM(N27:N33)</f>
        <v>2735893</v>
      </c>
      <c r="O34" s="1509">
        <f t="shared" ref="O34:S34" si="13">SUM(O27:O33)</f>
        <v>-208599</v>
      </c>
      <c r="P34" s="1509">
        <f t="shared" si="13"/>
        <v>-51707</v>
      </c>
      <c r="Q34" s="1509">
        <f t="shared" si="13"/>
        <v>2181829</v>
      </c>
      <c r="R34" s="1509">
        <f t="shared" si="13"/>
        <v>293758</v>
      </c>
      <c r="S34" s="1528">
        <f t="shared" si="13"/>
        <v>2475587</v>
      </c>
      <c r="T34" s="10"/>
      <c r="U34" s="10"/>
      <c r="V34" s="10"/>
      <c r="W34" s="10"/>
      <c r="X34" s="10"/>
    </row>
    <row r="35" spans="1:24" x14ac:dyDescent="0.2">
      <c r="A35" s="1544">
        <f t="shared" si="0"/>
        <v>27</v>
      </c>
      <c r="B35" s="129" t="s">
        <v>51</v>
      </c>
      <c r="C35" s="1494">
        <f>SUM(C33:C34)</f>
        <v>1427142</v>
      </c>
      <c r="D35" s="1494">
        <f>SUM(D33:D34)</f>
        <v>1468402</v>
      </c>
      <c r="E35" s="1494">
        <f>SUM(C35:D35)</f>
        <v>2895544</v>
      </c>
      <c r="F35" s="1494">
        <f>F33+F34</f>
        <v>116057</v>
      </c>
      <c r="G35" s="1494">
        <f t="shared" ref="G35:J35" si="14">G33+G34</f>
        <v>20553</v>
      </c>
      <c r="H35" s="1494">
        <f t="shared" si="14"/>
        <v>1543199</v>
      </c>
      <c r="I35" s="1494">
        <f t="shared" si="14"/>
        <v>1488955</v>
      </c>
      <c r="J35" s="375">
        <f t="shared" si="14"/>
        <v>3032154</v>
      </c>
      <c r="K35" s="1606" t="s">
        <v>69</v>
      </c>
      <c r="L35" s="1510">
        <f>L24+L34</f>
        <v>3848466</v>
      </c>
      <c r="M35" s="1510">
        <f>M24+M34</f>
        <v>1638990</v>
      </c>
      <c r="N35" s="1510">
        <f>N24+N34</f>
        <v>5487456</v>
      </c>
      <c r="O35" s="1510">
        <f t="shared" ref="O35:S35" si="15">O24+O34</f>
        <v>116057</v>
      </c>
      <c r="P35" s="1510">
        <f t="shared" si="15"/>
        <v>20553</v>
      </c>
      <c r="Q35" s="1510">
        <f t="shared" si="15"/>
        <v>3964523</v>
      </c>
      <c r="R35" s="1510">
        <f t="shared" si="15"/>
        <v>1659543</v>
      </c>
      <c r="S35" s="1529">
        <f t="shared" si="15"/>
        <v>5624066</v>
      </c>
      <c r="T35" s="10"/>
      <c r="U35" s="10"/>
      <c r="V35" s="10"/>
      <c r="W35" s="10"/>
      <c r="X35" s="10"/>
    </row>
    <row r="36" spans="1:24" x14ac:dyDescent="0.2">
      <c r="A36" s="1544">
        <f t="shared" si="0"/>
        <v>28</v>
      </c>
      <c r="B36" s="1492"/>
      <c r="C36" s="203"/>
      <c r="D36" s="203"/>
      <c r="E36" s="203"/>
      <c r="F36" s="203"/>
      <c r="G36" s="203"/>
      <c r="H36" s="203"/>
      <c r="I36" s="203"/>
      <c r="J36" s="349"/>
      <c r="K36" s="1602"/>
      <c r="L36" s="1506"/>
      <c r="M36" s="1506"/>
      <c r="N36" s="1506"/>
      <c r="O36" s="1492"/>
      <c r="P36" s="1492"/>
      <c r="Q36" s="1492"/>
      <c r="R36" s="1492"/>
      <c r="S36" s="1554"/>
      <c r="T36" s="10"/>
      <c r="U36" s="10"/>
      <c r="V36" s="10"/>
      <c r="W36" s="10"/>
      <c r="X36" s="10"/>
    </row>
    <row r="37" spans="1:24" x14ac:dyDescent="0.2">
      <c r="A37" s="1544">
        <f t="shared" si="0"/>
        <v>29</v>
      </c>
      <c r="B37" s="1498" t="s">
        <v>23</v>
      </c>
      <c r="C37" s="203">
        <f>C35-L35</f>
        <v>-2421324</v>
      </c>
      <c r="D37" s="203">
        <f>D35-M35</f>
        <v>-170588</v>
      </c>
      <c r="E37" s="203">
        <f>E35-N35</f>
        <v>-2591912</v>
      </c>
      <c r="F37" s="203"/>
      <c r="G37" s="203"/>
      <c r="H37" s="203"/>
      <c r="I37" s="203"/>
      <c r="J37" s="349"/>
      <c r="K37" s="1603"/>
      <c r="L37" s="1509"/>
      <c r="M37" s="1509"/>
      <c r="N37" s="1509"/>
      <c r="O37" s="1492"/>
      <c r="P37" s="1492"/>
      <c r="Q37" s="1492"/>
      <c r="R37" s="1492"/>
      <c r="S37" s="1554"/>
      <c r="T37" s="10"/>
      <c r="U37" s="10"/>
      <c r="V37" s="10"/>
      <c r="W37" s="10"/>
      <c r="X37" s="10"/>
    </row>
    <row r="38" spans="1:24" s="11" customFormat="1" x14ac:dyDescent="0.2">
      <c r="A38" s="1544">
        <f t="shared" si="0"/>
        <v>30</v>
      </c>
      <c r="B38" s="1492"/>
      <c r="C38" s="203"/>
      <c r="D38" s="203"/>
      <c r="E38" s="203"/>
      <c r="F38" s="203"/>
      <c r="G38" s="203"/>
      <c r="H38" s="203"/>
      <c r="I38" s="203"/>
      <c r="J38" s="349"/>
      <c r="K38" s="1602"/>
      <c r="L38" s="1506"/>
      <c r="M38" s="1506"/>
      <c r="N38" s="1506"/>
      <c r="O38" s="129"/>
      <c r="P38" s="129"/>
      <c r="Q38" s="129"/>
      <c r="R38" s="129"/>
      <c r="S38" s="1556"/>
    </row>
    <row r="39" spans="1:24" s="11" customFormat="1" x14ac:dyDescent="0.2">
      <c r="A39" s="1544">
        <f t="shared" si="0"/>
        <v>31</v>
      </c>
      <c r="B39" s="1499" t="s">
        <v>212</v>
      </c>
      <c r="C39" s="1494"/>
      <c r="D39" s="1494"/>
      <c r="E39" s="1494"/>
      <c r="F39" s="1494"/>
      <c r="G39" s="1494"/>
      <c r="H39" s="1494"/>
      <c r="I39" s="1494"/>
      <c r="J39" s="375"/>
      <c r="K39" s="1604" t="s">
        <v>238</v>
      </c>
      <c r="L39" s="1510"/>
      <c r="M39" s="1510"/>
      <c r="N39" s="1510"/>
      <c r="O39" s="129"/>
      <c r="P39" s="129"/>
      <c r="Q39" s="129"/>
      <c r="R39" s="129"/>
      <c r="S39" s="1556"/>
    </row>
    <row r="40" spans="1:24" s="11" customFormat="1" x14ac:dyDescent="0.2">
      <c r="A40" s="1544">
        <f t="shared" si="0"/>
        <v>32</v>
      </c>
      <c r="B40" s="1500" t="s">
        <v>213</v>
      </c>
      <c r="C40" s="1494"/>
      <c r="D40" s="1494"/>
      <c r="E40" s="1494"/>
      <c r="F40" s="1494"/>
      <c r="G40" s="1494"/>
      <c r="H40" s="1494"/>
      <c r="I40" s="1494"/>
      <c r="J40" s="375"/>
      <c r="K40" s="1607" t="s">
        <v>239</v>
      </c>
      <c r="L40" s="1510"/>
      <c r="M40" s="1512"/>
      <c r="N40" s="1512"/>
      <c r="O40" s="129"/>
      <c r="P40" s="129"/>
      <c r="Q40" s="129"/>
      <c r="R40" s="129"/>
      <c r="S40" s="1556"/>
    </row>
    <row r="41" spans="1:24" s="11" customFormat="1" ht="21.75" x14ac:dyDescent="0.2">
      <c r="A41" s="1600">
        <f t="shared" si="0"/>
        <v>33</v>
      </c>
      <c r="B41" s="1514" t="s">
        <v>1055</v>
      </c>
      <c r="C41" s="1515">
        <f>'pü.mérleg Önkorm.'!C41</f>
        <v>1243160</v>
      </c>
      <c r="D41" s="1515">
        <f>'pü.mérleg Önkorm.'!D41</f>
        <v>0</v>
      </c>
      <c r="E41" s="1515">
        <f>'pü.mérleg Önkorm.'!E41</f>
        <v>1243160</v>
      </c>
      <c r="F41" s="1515"/>
      <c r="G41" s="1515"/>
      <c r="H41" s="1515">
        <f>C41+F41</f>
        <v>1243160</v>
      </c>
      <c r="I41" s="1515">
        <f>D41+G41</f>
        <v>0</v>
      </c>
      <c r="J41" s="1519">
        <f>H41+I41</f>
        <v>1243160</v>
      </c>
      <c r="K41" s="1213" t="s">
        <v>991</v>
      </c>
      <c r="L41" s="1510"/>
      <c r="M41" s="1510"/>
      <c r="N41" s="1510"/>
      <c r="O41" s="129"/>
      <c r="P41" s="129"/>
      <c r="Q41" s="129"/>
      <c r="R41" s="129"/>
      <c r="S41" s="1556"/>
    </row>
    <row r="42" spans="1:24" x14ac:dyDescent="0.2">
      <c r="A42" s="1544">
        <f t="shared" si="0"/>
        <v>34</v>
      </c>
      <c r="B42" s="96" t="s">
        <v>214</v>
      </c>
      <c r="C42" s="1502"/>
      <c r="D42" s="1503">
        <f>'pü.mérleg Önkorm.'!D42</f>
        <v>0</v>
      </c>
      <c r="E42" s="1503">
        <f>SUM(C42:D42)</f>
        <v>0</v>
      </c>
      <c r="F42" s="1503"/>
      <c r="G42" s="1503"/>
      <c r="H42" s="203">
        <f t="shared" ref="H42:H46" si="16">C42+F42</f>
        <v>0</v>
      </c>
      <c r="I42" s="203">
        <f t="shared" ref="I42:I46" si="17">D42+G42</f>
        <v>0</v>
      </c>
      <c r="J42" s="349">
        <f t="shared" ref="J42:J46" si="18">H42+I42</f>
        <v>0</v>
      </c>
      <c r="K42" s="359" t="s">
        <v>240</v>
      </c>
      <c r="L42" s="1510"/>
      <c r="M42" s="1510"/>
      <c r="N42" s="1510"/>
      <c r="O42" s="1492"/>
      <c r="P42" s="1492"/>
      <c r="Q42" s="1492"/>
      <c r="R42" s="1492"/>
      <c r="S42" s="1554"/>
      <c r="T42" s="10"/>
      <c r="U42" s="10"/>
      <c r="V42" s="10"/>
      <c r="W42" s="10"/>
      <c r="X42" s="10"/>
    </row>
    <row r="43" spans="1:24" x14ac:dyDescent="0.2">
      <c r="A43" s="1544">
        <f t="shared" si="0"/>
        <v>35</v>
      </c>
      <c r="B43" s="96" t="s">
        <v>215</v>
      </c>
      <c r="C43" s="203"/>
      <c r="D43" s="203"/>
      <c r="E43" s="203"/>
      <c r="F43" s="203"/>
      <c r="G43" s="203"/>
      <c r="H43" s="203">
        <f t="shared" si="16"/>
        <v>0</v>
      </c>
      <c r="I43" s="203">
        <f t="shared" si="17"/>
        <v>0</v>
      </c>
      <c r="J43" s="349">
        <f t="shared" si="18"/>
        <v>0</v>
      </c>
      <c r="K43" s="359" t="s">
        <v>241</v>
      </c>
      <c r="L43" s="1510"/>
      <c r="M43" s="1510"/>
      <c r="N43" s="1510"/>
      <c r="O43" s="1492"/>
      <c r="P43" s="1492"/>
      <c r="Q43" s="1492"/>
      <c r="R43" s="1492"/>
      <c r="S43" s="1554"/>
      <c r="T43" s="10"/>
      <c r="U43" s="10"/>
      <c r="V43" s="10"/>
      <c r="W43" s="10"/>
      <c r="X43" s="10"/>
    </row>
    <row r="44" spans="1:24" x14ac:dyDescent="0.2">
      <c r="A44" s="1544">
        <f t="shared" si="0"/>
        <v>36</v>
      </c>
      <c r="B44" s="1504" t="s">
        <v>965</v>
      </c>
      <c r="C44" s="203">
        <f>'pü.mérleg Önkorm.'!C44+'pü.mérleg Hivatal'!D43+'püm. GAMESZ. '!C43+püm.Brunszvik!C43+'püm-TASZII.'!C43+'püm Festetics'!C43</f>
        <v>1205857</v>
      </c>
      <c r="D44" s="203">
        <f>'pü.mérleg Önkorm.'!D44+'pü.mérleg Hivatal'!E43+'püm. GAMESZ. '!D43+püm.Brunszvik!D43+'püm-TASZII.'!D43+'püm Festetics'!D43</f>
        <v>174339</v>
      </c>
      <c r="E44" s="203">
        <f>'pü.mérleg Önkorm.'!E44+'pü.mérleg Hivatal'!F43+'püm. GAMESZ. '!E43+püm.Brunszvik!E43+'püm-TASZII.'!E43+'püm Festetics'!E43</f>
        <v>1380196</v>
      </c>
      <c r="F44" s="203"/>
      <c r="G44" s="203"/>
      <c r="H44" s="203">
        <f t="shared" si="16"/>
        <v>1205857</v>
      </c>
      <c r="I44" s="203">
        <f t="shared" si="17"/>
        <v>174339</v>
      </c>
      <c r="J44" s="349">
        <f t="shared" si="18"/>
        <v>1380196</v>
      </c>
      <c r="K44" s="359" t="s">
        <v>242</v>
      </c>
      <c r="L44" s="1510"/>
      <c r="M44" s="1510"/>
      <c r="N44" s="1510"/>
      <c r="O44" s="1492"/>
      <c r="P44" s="1492"/>
      <c r="Q44" s="1492"/>
      <c r="R44" s="1492"/>
      <c r="S44" s="1554"/>
      <c r="T44" s="10"/>
      <c r="U44" s="10"/>
      <c r="V44" s="10"/>
      <c r="W44" s="10"/>
      <c r="X44" s="10"/>
    </row>
    <row r="45" spans="1:24" x14ac:dyDescent="0.2">
      <c r="A45" s="1544">
        <f t="shared" si="0"/>
        <v>37</v>
      </c>
      <c r="B45" s="1504" t="s">
        <v>993</v>
      </c>
      <c r="C45" s="203">
        <f>'püm Festetics'!C44</f>
        <v>0</v>
      </c>
      <c r="D45" s="203">
        <f>'püm Festetics'!D44</f>
        <v>0</v>
      </c>
      <c r="E45" s="203">
        <f>'püm Festetics'!E44</f>
        <v>0</v>
      </c>
      <c r="F45" s="203"/>
      <c r="G45" s="203"/>
      <c r="H45" s="203">
        <f t="shared" si="16"/>
        <v>0</v>
      </c>
      <c r="I45" s="203">
        <f t="shared" si="17"/>
        <v>0</v>
      </c>
      <c r="J45" s="349">
        <f t="shared" si="18"/>
        <v>0</v>
      </c>
      <c r="K45" s="359"/>
      <c r="L45" s="1510"/>
      <c r="M45" s="1510"/>
      <c r="N45" s="1510"/>
      <c r="O45" s="1492"/>
      <c r="P45" s="1492"/>
      <c r="Q45" s="1492"/>
      <c r="R45" s="1492"/>
      <c r="S45" s="1554"/>
      <c r="T45" s="10"/>
      <c r="U45" s="10"/>
      <c r="V45" s="10"/>
      <c r="W45" s="10"/>
      <c r="X45" s="10"/>
    </row>
    <row r="46" spans="1:24" x14ac:dyDescent="0.2">
      <c r="A46" s="1544">
        <f t="shared" si="0"/>
        <v>38</v>
      </c>
      <c r="B46" s="96" t="s">
        <v>217</v>
      </c>
      <c r="C46" s="203">
        <f>'pü.mérleg Önkorm.'!C46</f>
        <v>1164</v>
      </c>
      <c r="D46" s="203">
        <f>'pü.mérleg Önkorm.'!D46</f>
        <v>0</v>
      </c>
      <c r="E46" s="203">
        <f>'pü.mérleg Önkorm.'!E46</f>
        <v>1164</v>
      </c>
      <c r="F46" s="203">
        <v>867</v>
      </c>
      <c r="G46" s="203"/>
      <c r="H46" s="203">
        <f t="shared" si="16"/>
        <v>2031</v>
      </c>
      <c r="I46" s="203">
        <f t="shared" si="17"/>
        <v>0</v>
      </c>
      <c r="J46" s="349">
        <f t="shared" si="18"/>
        <v>2031</v>
      </c>
      <c r="K46" s="359" t="s">
        <v>243</v>
      </c>
      <c r="L46" s="1510"/>
      <c r="M46" s="1510"/>
      <c r="N46" s="1506"/>
      <c r="O46" s="1492"/>
      <c r="P46" s="1492"/>
      <c r="Q46" s="1492"/>
      <c r="R46" s="1492"/>
      <c r="S46" s="1554"/>
      <c r="T46" s="10"/>
      <c r="U46" s="10"/>
      <c r="V46" s="10"/>
      <c r="W46" s="10"/>
      <c r="X46" s="10"/>
    </row>
    <row r="47" spans="1:24" x14ac:dyDescent="0.2">
      <c r="A47" s="1544">
        <f t="shared" si="0"/>
        <v>39</v>
      </c>
      <c r="B47" s="96" t="s">
        <v>218</v>
      </c>
      <c r="C47" s="1494"/>
      <c r="D47" s="1494"/>
      <c r="E47" s="1494"/>
      <c r="F47" s="1494"/>
      <c r="G47" s="1494"/>
      <c r="H47" s="1494"/>
      <c r="I47" s="1494"/>
      <c r="J47" s="375"/>
      <c r="K47" s="1601" t="s">
        <v>244</v>
      </c>
      <c r="L47" s="1506">
        <f>'pü.mérleg Önkorm.'!L47</f>
        <v>28857</v>
      </c>
      <c r="M47" s="1506">
        <f>'pü.mérleg Önkorm.'!M47</f>
        <v>3751</v>
      </c>
      <c r="N47" s="1506">
        <f>'pü.mérleg Önkorm.'!N47</f>
        <v>32608</v>
      </c>
      <c r="O47" s="1492">
        <v>867</v>
      </c>
      <c r="P47" s="1492"/>
      <c r="Q47" s="125">
        <f>L47+O47</f>
        <v>29724</v>
      </c>
      <c r="R47" s="125">
        <f>M47+P47</f>
        <v>3751</v>
      </c>
      <c r="S47" s="1530">
        <f>Q47+R47</f>
        <v>33475</v>
      </c>
      <c r="T47" s="10"/>
      <c r="U47" s="10"/>
      <c r="V47" s="10"/>
      <c r="W47" s="10"/>
      <c r="X47" s="10"/>
    </row>
    <row r="48" spans="1:24" x14ac:dyDescent="0.2">
      <c r="A48" s="1544">
        <f t="shared" si="0"/>
        <v>40</v>
      </c>
      <c r="B48" s="96" t="s">
        <v>219</v>
      </c>
      <c r="C48" s="203"/>
      <c r="D48" s="203"/>
      <c r="E48" s="203"/>
      <c r="F48" s="203"/>
      <c r="G48" s="203"/>
      <c r="H48" s="203"/>
      <c r="I48" s="203"/>
      <c r="J48" s="349"/>
      <c r="K48" s="359" t="s">
        <v>245</v>
      </c>
      <c r="L48" s="1506"/>
      <c r="M48" s="1506"/>
      <c r="N48" s="1506"/>
      <c r="O48" s="1492"/>
      <c r="P48" s="1492"/>
      <c r="Q48" s="1492"/>
      <c r="R48" s="1492"/>
      <c r="S48" s="1554"/>
      <c r="T48" s="10"/>
      <c r="U48" s="10"/>
      <c r="V48" s="10"/>
      <c r="W48" s="10"/>
      <c r="X48" s="10"/>
    </row>
    <row r="49" spans="1:24" x14ac:dyDescent="0.2">
      <c r="A49" s="1544">
        <f t="shared" si="0"/>
        <v>41</v>
      </c>
      <c r="B49" s="1505" t="s">
        <v>220</v>
      </c>
      <c r="C49" s="203"/>
      <c r="D49" s="203"/>
      <c r="E49" s="203"/>
      <c r="F49" s="203"/>
      <c r="G49" s="203"/>
      <c r="H49" s="203"/>
      <c r="I49" s="203"/>
      <c r="J49" s="349"/>
      <c r="K49" s="359" t="s">
        <v>246</v>
      </c>
      <c r="L49" s="1506"/>
      <c r="M49" s="1506"/>
      <c r="N49" s="1506"/>
      <c r="O49" s="1492"/>
      <c r="P49" s="1492"/>
      <c r="Q49" s="1492"/>
      <c r="R49" s="1492"/>
      <c r="S49" s="1554"/>
      <c r="T49" s="10"/>
      <c r="U49" s="10"/>
      <c r="V49" s="10"/>
      <c r="W49" s="10"/>
      <c r="X49" s="10"/>
    </row>
    <row r="50" spans="1:24" x14ac:dyDescent="0.2">
      <c r="A50" s="1544">
        <f t="shared" si="0"/>
        <v>42</v>
      </c>
      <c r="B50" s="1505" t="s">
        <v>221</v>
      </c>
      <c r="C50" s="203"/>
      <c r="D50" s="203"/>
      <c r="E50" s="203"/>
      <c r="F50" s="203"/>
      <c r="G50" s="203"/>
      <c r="H50" s="203"/>
      <c r="I50" s="203"/>
      <c r="J50" s="349"/>
      <c r="K50" s="359" t="s">
        <v>247</v>
      </c>
      <c r="L50" s="1506"/>
      <c r="M50" s="1506"/>
      <c r="N50" s="1506"/>
      <c r="O50" s="1492"/>
      <c r="P50" s="1492"/>
      <c r="Q50" s="1492"/>
      <c r="R50" s="1492"/>
      <c r="S50" s="1554"/>
      <c r="T50" s="10"/>
      <c r="U50" s="10"/>
      <c r="V50" s="10"/>
      <c r="W50" s="10"/>
      <c r="X50" s="10"/>
    </row>
    <row r="51" spans="1:24" x14ac:dyDescent="0.2">
      <c r="A51" s="1544">
        <f t="shared" si="0"/>
        <v>43</v>
      </c>
      <c r="B51" s="96" t="s">
        <v>222</v>
      </c>
      <c r="C51" s="203">
        <f>'pü.mérleg Önkorm.'!C51</f>
        <v>0</v>
      </c>
      <c r="D51" s="203">
        <f>'pü.mérleg Önkorm.'!D51</f>
        <v>0</v>
      </c>
      <c r="E51" s="203">
        <f>SUM(C51:D51)</f>
        <v>0</v>
      </c>
      <c r="F51" s="203"/>
      <c r="G51" s="203"/>
      <c r="H51" s="203"/>
      <c r="I51" s="203"/>
      <c r="J51" s="349"/>
      <c r="K51" s="359" t="s">
        <v>248</v>
      </c>
      <c r="L51" s="1506"/>
      <c r="M51" s="1506"/>
      <c r="N51" s="1506"/>
      <c r="O51" s="1492"/>
      <c r="P51" s="1492"/>
      <c r="Q51" s="1492"/>
      <c r="R51" s="1492"/>
      <c r="S51" s="1554"/>
      <c r="T51" s="10"/>
      <c r="U51" s="10"/>
      <c r="V51" s="10"/>
      <c r="W51" s="10"/>
      <c r="X51" s="10"/>
    </row>
    <row r="52" spans="1:24" x14ac:dyDescent="0.2">
      <c r="A52" s="1544">
        <f t="shared" si="0"/>
        <v>44</v>
      </c>
      <c r="B52" s="96"/>
      <c r="C52" s="203"/>
      <c r="D52" s="203"/>
      <c r="E52" s="203"/>
      <c r="F52" s="203"/>
      <c r="G52" s="203"/>
      <c r="H52" s="203"/>
      <c r="I52" s="203"/>
      <c r="J52" s="349"/>
      <c r="K52" s="359" t="s">
        <v>249</v>
      </c>
      <c r="L52" s="1506"/>
      <c r="M52" s="1506"/>
      <c r="N52" s="1506"/>
      <c r="O52" s="1492"/>
      <c r="P52" s="1492"/>
      <c r="Q52" s="1492"/>
      <c r="R52" s="1492"/>
      <c r="S52" s="1554"/>
      <c r="T52" s="10"/>
      <c r="U52" s="10"/>
      <c r="V52" s="10"/>
      <c r="W52" s="10"/>
      <c r="X52" s="10"/>
    </row>
    <row r="53" spans="1:24" x14ac:dyDescent="0.2">
      <c r="A53" s="1544">
        <f t="shared" si="0"/>
        <v>45</v>
      </c>
      <c r="B53" s="96"/>
      <c r="C53" s="203"/>
      <c r="D53" s="203"/>
      <c r="E53" s="203"/>
      <c r="F53" s="203"/>
      <c r="G53" s="203"/>
      <c r="H53" s="203"/>
      <c r="I53" s="203"/>
      <c r="J53" s="349"/>
      <c r="K53" s="359" t="s">
        <v>250</v>
      </c>
      <c r="L53" s="1506"/>
      <c r="M53" s="1506"/>
      <c r="N53" s="1506"/>
      <c r="O53" s="1492"/>
      <c r="P53" s="1492"/>
      <c r="Q53" s="1492"/>
      <c r="R53" s="1492"/>
      <c r="S53" s="1554"/>
      <c r="T53" s="10"/>
      <c r="U53" s="10"/>
      <c r="V53" s="10"/>
      <c r="W53" s="10"/>
      <c r="X53" s="10"/>
    </row>
    <row r="54" spans="1:24" ht="12" thickBot="1" x14ac:dyDescent="0.25">
      <c r="A54" s="1544">
        <f t="shared" si="0"/>
        <v>46</v>
      </c>
      <c r="B54" s="129" t="s">
        <v>463</v>
      </c>
      <c r="C54" s="1494">
        <f>SUM(C40:C52)</f>
        <v>2450181</v>
      </c>
      <c r="D54" s="1494">
        <f>SUM(D40:D52)</f>
        <v>174339</v>
      </c>
      <c r="E54" s="1494">
        <f>SUM(E40:E52)</f>
        <v>2624520</v>
      </c>
      <c r="F54" s="1494">
        <f t="shared" ref="F54:J54" si="19">SUM(F40:F52)</f>
        <v>867</v>
      </c>
      <c r="G54" s="1494">
        <f t="shared" si="19"/>
        <v>0</v>
      </c>
      <c r="H54" s="1494">
        <f t="shared" si="19"/>
        <v>2451048</v>
      </c>
      <c r="I54" s="1494">
        <f t="shared" si="19"/>
        <v>174339</v>
      </c>
      <c r="J54" s="375">
        <f t="shared" si="19"/>
        <v>2625387</v>
      </c>
      <c r="K54" s="1604" t="s">
        <v>456</v>
      </c>
      <c r="L54" s="1510">
        <f>SUM(L40:L53)</f>
        <v>28857</v>
      </c>
      <c r="M54" s="1510">
        <f>SUM(M40:M53)</f>
        <v>3751</v>
      </c>
      <c r="N54" s="1510">
        <f>SUM(N40:N53)</f>
        <v>32608</v>
      </c>
      <c r="O54" s="1510">
        <f t="shared" ref="O54:S54" si="20">SUM(O40:O53)</f>
        <v>867</v>
      </c>
      <c r="P54" s="1510">
        <f t="shared" si="20"/>
        <v>0</v>
      </c>
      <c r="Q54" s="1510">
        <f t="shared" si="20"/>
        <v>29724</v>
      </c>
      <c r="R54" s="1510">
        <f t="shared" si="20"/>
        <v>3751</v>
      </c>
      <c r="S54" s="1529">
        <f t="shared" si="20"/>
        <v>33475</v>
      </c>
      <c r="T54" s="10"/>
      <c r="U54" s="10"/>
      <c r="V54" s="10"/>
      <c r="W54" s="10"/>
      <c r="X54" s="10"/>
    </row>
    <row r="55" spans="1:24" ht="12" thickBot="1" x14ac:dyDescent="0.25">
      <c r="A55" s="710">
        <f t="shared" si="0"/>
        <v>47</v>
      </c>
      <c r="B55" s="1520" t="s">
        <v>458</v>
      </c>
      <c r="C55" s="708">
        <f>C35+C54</f>
        <v>3877323</v>
      </c>
      <c r="D55" s="708">
        <f>D35+D54</f>
        <v>1642741</v>
      </c>
      <c r="E55" s="752">
        <f>E35+E54</f>
        <v>5520064</v>
      </c>
      <c r="F55" s="752">
        <f t="shared" ref="F55:J55" si="21">F35+F54</f>
        <v>116924</v>
      </c>
      <c r="G55" s="752">
        <f t="shared" si="21"/>
        <v>20553</v>
      </c>
      <c r="H55" s="752">
        <f t="shared" si="21"/>
        <v>3994247</v>
      </c>
      <c r="I55" s="752">
        <f t="shared" si="21"/>
        <v>1663294</v>
      </c>
      <c r="J55" s="752">
        <f t="shared" si="21"/>
        <v>5657541</v>
      </c>
      <c r="K55" s="1520" t="s">
        <v>457</v>
      </c>
      <c r="L55" s="708">
        <f>L35+L54</f>
        <v>3877323</v>
      </c>
      <c r="M55" s="708">
        <f>M35+M54</f>
        <v>1642741</v>
      </c>
      <c r="N55" s="752">
        <f>N35+N54</f>
        <v>5520064</v>
      </c>
      <c r="O55" s="752">
        <f t="shared" ref="O55:S55" si="22">O35+O54</f>
        <v>116924</v>
      </c>
      <c r="P55" s="752">
        <f t="shared" si="22"/>
        <v>20553</v>
      </c>
      <c r="Q55" s="752">
        <f t="shared" si="22"/>
        <v>3994247</v>
      </c>
      <c r="R55" s="752">
        <f t="shared" si="22"/>
        <v>1663294</v>
      </c>
      <c r="S55" s="1521">
        <f t="shared" si="22"/>
        <v>5657541</v>
      </c>
      <c r="T55" s="10"/>
      <c r="U55" s="10"/>
      <c r="V55" s="10"/>
      <c r="W55" s="10"/>
      <c r="X55" s="10"/>
    </row>
    <row r="56" spans="1:24" x14ac:dyDescent="0.2">
      <c r="B56" s="131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V56" s="10"/>
      <c r="W56" s="10"/>
      <c r="X56" s="10"/>
    </row>
    <row r="57" spans="1:24" s="11" customFormat="1" ht="12.75" x14ac:dyDescent="0.2">
      <c r="A57" s="131"/>
      <c r="B57" s="129"/>
      <c r="C57" s="130"/>
      <c r="D57" s="130"/>
      <c r="E57" s="334">
        <f>E55-N55</f>
        <v>0</v>
      </c>
      <c r="F57" s="334"/>
      <c r="G57" s="334"/>
      <c r="H57" s="334"/>
      <c r="I57" s="334"/>
      <c r="J57" s="334"/>
      <c r="K57" s="130"/>
      <c r="L57" s="130"/>
      <c r="M57" s="130"/>
      <c r="N57" s="130"/>
      <c r="O57" s="131"/>
      <c r="P57" s="131"/>
      <c r="Q57" s="131"/>
      <c r="R57" s="131"/>
      <c r="S57" s="131"/>
      <c r="T57" s="131"/>
      <c r="U57" s="131"/>
      <c r="V57" s="131"/>
      <c r="W57" s="131"/>
      <c r="X57" s="131"/>
    </row>
  </sheetData>
  <sheetProtection selectLockedCells="1" selectUnlockedCells="1"/>
  <mergeCells count="15">
    <mergeCell ref="A1:S1"/>
    <mergeCell ref="A3:S3"/>
    <mergeCell ref="A6:A8"/>
    <mergeCell ref="B6:B7"/>
    <mergeCell ref="K6:K7"/>
    <mergeCell ref="F7:G7"/>
    <mergeCell ref="C6:J6"/>
    <mergeCell ref="H7:J7"/>
    <mergeCell ref="B4:S4"/>
    <mergeCell ref="B5:S5"/>
    <mergeCell ref="L6:S6"/>
    <mergeCell ref="O7:P7"/>
    <mergeCell ref="Q7:S7"/>
    <mergeCell ref="C7:E7"/>
    <mergeCell ref="L7:N7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79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73"/>
  <sheetViews>
    <sheetView topLeftCell="B43" workbookViewId="0">
      <selection activeCell="O61" sqref="O61"/>
    </sheetView>
  </sheetViews>
  <sheetFormatPr defaultColWidth="9.140625" defaultRowHeight="12" x14ac:dyDescent="0.2"/>
  <cols>
    <col min="1" max="1" width="3.7109375" style="114" hidden="1" customWidth="1"/>
    <col min="2" max="2" width="5.7109375" style="117" customWidth="1"/>
    <col min="3" max="3" width="53" style="113" customWidth="1"/>
    <col min="4" max="4" width="9" style="112" customWidth="1"/>
    <col min="5" max="5" width="9.140625" style="112"/>
    <col min="6" max="6" width="9.7109375" style="112" customWidth="1"/>
    <col min="7" max="16384" width="9.140625" style="13"/>
  </cols>
  <sheetData>
    <row r="1" spans="1:11" x14ac:dyDescent="0.2">
      <c r="B1" s="1294" t="s">
        <v>1287</v>
      </c>
      <c r="C1" s="1294"/>
      <c r="D1" s="1294"/>
      <c r="E1" s="1294"/>
      <c r="F1" s="1294"/>
    </row>
    <row r="2" spans="1:11" x14ac:dyDescent="0.2">
      <c r="B2" s="210"/>
      <c r="C2" s="210"/>
      <c r="D2" s="210"/>
      <c r="E2" s="210"/>
      <c r="F2" s="210"/>
    </row>
    <row r="3" spans="1:11" ht="13.5" customHeight="1" x14ac:dyDescent="0.2">
      <c r="B3" s="1300" t="s">
        <v>1263</v>
      </c>
      <c r="C3" s="1300"/>
      <c r="D3" s="1300"/>
      <c r="E3" s="1300"/>
      <c r="F3" s="1300"/>
    </row>
    <row r="4" spans="1:11" x14ac:dyDescent="0.2">
      <c r="B4" s="1301" t="s">
        <v>1136</v>
      </c>
      <c r="C4" s="1301"/>
      <c r="D4" s="1301"/>
      <c r="E4" s="1302"/>
      <c r="F4" s="1302"/>
    </row>
    <row r="5" spans="1:11" x14ac:dyDescent="0.2">
      <c r="B5" s="111"/>
      <c r="C5" s="111"/>
      <c r="D5" s="111"/>
      <c r="E5" s="211"/>
      <c r="F5" s="211"/>
    </row>
    <row r="6" spans="1:11" ht="12.75" x14ac:dyDescent="0.2">
      <c r="B6" s="111"/>
      <c r="C6" s="1295" t="s">
        <v>311</v>
      </c>
      <c r="D6" s="1296"/>
      <c r="E6" s="1296"/>
      <c r="F6" s="1296"/>
    </row>
    <row r="7" spans="1:11" ht="19.149999999999999" customHeight="1" x14ac:dyDescent="0.2">
      <c r="B7" s="1297" t="s">
        <v>77</v>
      </c>
      <c r="C7" s="1298" t="s">
        <v>86</v>
      </c>
      <c r="D7" s="1299" t="s">
        <v>1099</v>
      </c>
      <c r="E7" s="1299"/>
      <c r="F7" s="1299"/>
      <c r="G7" s="1230" t="s">
        <v>1294</v>
      </c>
      <c r="H7" s="1230"/>
      <c r="I7" s="1230" t="s">
        <v>1292</v>
      </c>
      <c r="J7" s="1230"/>
      <c r="K7" s="1230"/>
    </row>
    <row r="8" spans="1:11" s="8" customFormat="1" ht="42.75" customHeight="1" x14ac:dyDescent="0.2">
      <c r="A8" s="115"/>
      <c r="B8" s="1297"/>
      <c r="C8" s="1298"/>
      <c r="D8" s="604" t="s">
        <v>62</v>
      </c>
      <c r="E8" s="604" t="s">
        <v>63</v>
      </c>
      <c r="F8" s="604" t="s">
        <v>64</v>
      </c>
      <c r="G8" s="757" t="s">
        <v>62</v>
      </c>
      <c r="H8" s="757" t="s">
        <v>63</v>
      </c>
      <c r="I8" s="757" t="s">
        <v>62</v>
      </c>
      <c r="J8" s="757" t="s">
        <v>63</v>
      </c>
      <c r="K8" s="757" t="s">
        <v>64</v>
      </c>
    </row>
    <row r="9" spans="1:11" ht="14.25" customHeight="1" x14ac:dyDescent="0.2">
      <c r="B9" s="862" t="s">
        <v>494</v>
      </c>
      <c r="C9" s="863" t="s">
        <v>87</v>
      </c>
      <c r="D9" s="864"/>
      <c r="E9" s="865"/>
      <c r="F9" s="865"/>
      <c r="G9" s="861"/>
      <c r="H9" s="861"/>
      <c r="I9" s="861"/>
      <c r="J9" s="861"/>
      <c r="K9" s="861"/>
    </row>
    <row r="10" spans="1:11" ht="28.9" customHeight="1" x14ac:dyDescent="0.2">
      <c r="B10" s="866" t="s">
        <v>502</v>
      </c>
      <c r="C10" s="867" t="s">
        <v>469</v>
      </c>
      <c r="D10" s="868"/>
      <c r="E10" s="868"/>
      <c r="F10" s="868"/>
      <c r="G10" s="861"/>
      <c r="H10" s="861"/>
      <c r="I10" s="861"/>
      <c r="J10" s="861"/>
      <c r="K10" s="861"/>
    </row>
    <row r="11" spans="1:11" x14ac:dyDescent="0.2">
      <c r="B11" s="862" t="s">
        <v>503</v>
      </c>
      <c r="C11" s="869" t="s">
        <v>450</v>
      </c>
      <c r="D11" s="865"/>
      <c r="E11" s="865"/>
      <c r="F11" s="865"/>
      <c r="G11" s="861"/>
      <c r="H11" s="861"/>
      <c r="I11" s="861"/>
      <c r="J11" s="861"/>
      <c r="K11" s="861"/>
    </row>
    <row r="12" spans="1:11" x14ac:dyDescent="0.2">
      <c r="B12" s="862" t="s">
        <v>504</v>
      </c>
      <c r="C12" s="869" t="s">
        <v>1093</v>
      </c>
      <c r="D12" s="865"/>
      <c r="E12" s="865">
        <v>25807</v>
      </c>
      <c r="F12" s="865">
        <f t="shared" ref="F12:F20" si="0">SUM(D12:E12)</f>
        <v>25807</v>
      </c>
      <c r="G12" s="861"/>
      <c r="H12" s="861"/>
      <c r="I12" s="861"/>
      <c r="J12" s="861"/>
      <c r="K12" s="861"/>
    </row>
    <row r="13" spans="1:11" x14ac:dyDescent="0.2">
      <c r="B13" s="862" t="s">
        <v>505</v>
      </c>
      <c r="C13" s="869" t="s">
        <v>1092</v>
      </c>
      <c r="D13" s="865"/>
      <c r="E13" s="865">
        <v>34409</v>
      </c>
      <c r="F13" s="865">
        <f t="shared" si="0"/>
        <v>34409</v>
      </c>
      <c r="G13" s="861"/>
      <c r="H13" s="861"/>
      <c r="I13" s="861"/>
      <c r="J13" s="861"/>
      <c r="K13" s="861"/>
    </row>
    <row r="14" spans="1:11" x14ac:dyDescent="0.2">
      <c r="B14" s="862" t="s">
        <v>506</v>
      </c>
      <c r="C14" s="869" t="s">
        <v>939</v>
      </c>
      <c r="D14" s="865">
        <v>0</v>
      </c>
      <c r="E14" s="865"/>
      <c r="F14" s="865">
        <f t="shared" si="0"/>
        <v>0</v>
      </c>
      <c r="G14" s="861"/>
      <c r="H14" s="861"/>
      <c r="I14" s="861"/>
      <c r="J14" s="861"/>
      <c r="K14" s="861"/>
    </row>
    <row r="15" spans="1:11" x14ac:dyDescent="0.2">
      <c r="B15" s="862" t="s">
        <v>507</v>
      </c>
      <c r="C15" s="869" t="s">
        <v>451</v>
      </c>
      <c r="D15" s="865">
        <v>4500</v>
      </c>
      <c r="E15" s="865"/>
      <c r="F15" s="865">
        <f t="shared" si="0"/>
        <v>4500</v>
      </c>
      <c r="G15" s="861"/>
      <c r="H15" s="861"/>
      <c r="I15" s="861"/>
      <c r="J15" s="861"/>
      <c r="K15" s="861"/>
    </row>
    <row r="16" spans="1:11" x14ac:dyDescent="0.2">
      <c r="B16" s="862" t="s">
        <v>508</v>
      </c>
      <c r="C16" s="870" t="s">
        <v>452</v>
      </c>
      <c r="D16" s="865"/>
      <c r="E16" s="865">
        <v>2000</v>
      </c>
      <c r="F16" s="865">
        <f t="shared" si="0"/>
        <v>2000</v>
      </c>
      <c r="G16" s="861"/>
      <c r="H16" s="861"/>
      <c r="I16" s="861"/>
      <c r="J16" s="861"/>
      <c r="K16" s="861"/>
    </row>
    <row r="17" spans="1:11" ht="13.5" customHeight="1" x14ac:dyDescent="0.2">
      <c r="B17" s="862" t="s">
        <v>509</v>
      </c>
      <c r="C17" s="870" t="s">
        <v>482</v>
      </c>
      <c r="D17" s="865">
        <v>1250</v>
      </c>
      <c r="E17" s="865"/>
      <c r="F17" s="865">
        <f t="shared" si="0"/>
        <v>1250</v>
      </c>
      <c r="G17" s="861"/>
      <c r="H17" s="861"/>
      <c r="I17" s="861"/>
      <c r="J17" s="861"/>
      <c r="K17" s="861"/>
    </row>
    <row r="18" spans="1:11" ht="13.5" customHeight="1" x14ac:dyDescent="0.2">
      <c r="B18" s="862" t="s">
        <v>551</v>
      </c>
      <c r="C18" s="871" t="s">
        <v>318</v>
      </c>
      <c r="D18" s="872"/>
      <c r="E18" s="872">
        <v>50</v>
      </c>
      <c r="F18" s="872">
        <f t="shared" si="0"/>
        <v>50</v>
      </c>
      <c r="G18" s="861"/>
      <c r="H18" s="861"/>
      <c r="I18" s="861"/>
      <c r="J18" s="861"/>
      <c r="K18" s="861"/>
    </row>
    <row r="19" spans="1:11" ht="13.5" customHeight="1" x14ac:dyDescent="0.2">
      <c r="B19" s="862" t="s">
        <v>552</v>
      </c>
      <c r="C19" s="871" t="s">
        <v>1126</v>
      </c>
      <c r="D19" s="872"/>
      <c r="E19" s="872">
        <v>1690</v>
      </c>
      <c r="F19" s="872">
        <f t="shared" si="0"/>
        <v>1690</v>
      </c>
      <c r="G19" s="861"/>
      <c r="H19" s="861"/>
      <c r="I19" s="861"/>
      <c r="J19" s="861"/>
      <c r="K19" s="861"/>
    </row>
    <row r="20" spans="1:11" ht="13.5" customHeight="1" x14ac:dyDescent="0.2">
      <c r="B20" s="883" t="s">
        <v>553</v>
      </c>
      <c r="C20" s="884" t="s">
        <v>1208</v>
      </c>
      <c r="D20" s="885"/>
      <c r="E20" s="885">
        <v>191</v>
      </c>
      <c r="F20" s="885">
        <f t="shared" si="0"/>
        <v>191</v>
      </c>
      <c r="G20" s="886"/>
      <c r="H20" s="886"/>
      <c r="I20" s="886"/>
      <c r="J20" s="886"/>
      <c r="K20" s="886"/>
    </row>
    <row r="21" spans="1:11" ht="13.5" customHeight="1" x14ac:dyDescent="0.2">
      <c r="B21" s="862"/>
      <c r="C21" s="871"/>
      <c r="D21" s="872"/>
      <c r="E21" s="872"/>
      <c r="F21" s="872"/>
      <c r="G21" s="861"/>
      <c r="H21" s="861"/>
      <c r="I21" s="861"/>
      <c r="J21" s="861"/>
      <c r="K21" s="861"/>
    </row>
    <row r="22" spans="1:11" ht="13.5" customHeight="1" thickBot="1" x14ac:dyDescent="0.25">
      <c r="B22" s="883"/>
      <c r="C22" s="884"/>
      <c r="D22" s="885"/>
      <c r="E22" s="885"/>
      <c r="F22" s="885"/>
      <c r="G22" s="886"/>
      <c r="H22" s="886"/>
      <c r="I22" s="886"/>
      <c r="J22" s="886"/>
      <c r="K22" s="886"/>
    </row>
    <row r="23" spans="1:11" ht="15" customHeight="1" thickBot="1" x14ac:dyDescent="0.25">
      <c r="B23" s="891" t="s">
        <v>554</v>
      </c>
      <c r="C23" s="892" t="s">
        <v>470</v>
      </c>
      <c r="D23" s="605">
        <f>SUM(D12:D19)</f>
        <v>5750</v>
      </c>
      <c r="E23" s="605">
        <f>SUM(E12:E20)</f>
        <v>64147</v>
      </c>
      <c r="F23" s="605">
        <f>SUM(F12:F20)</f>
        <v>69897</v>
      </c>
      <c r="G23" s="893"/>
      <c r="H23" s="893"/>
      <c r="I23" s="893"/>
      <c r="J23" s="893"/>
      <c r="K23" s="894"/>
    </row>
    <row r="24" spans="1:11" x14ac:dyDescent="0.2">
      <c r="B24" s="887" t="s">
        <v>555</v>
      </c>
      <c r="C24" s="888"/>
      <c r="D24" s="889"/>
      <c r="E24" s="889"/>
      <c r="F24" s="889"/>
      <c r="G24" s="890"/>
      <c r="H24" s="890"/>
      <c r="I24" s="890"/>
      <c r="J24" s="890"/>
      <c r="K24" s="890"/>
    </row>
    <row r="25" spans="1:11" x14ac:dyDescent="0.2">
      <c r="B25" s="862" t="s">
        <v>556</v>
      </c>
      <c r="C25" s="873" t="s">
        <v>471</v>
      </c>
      <c r="D25" s="865"/>
      <c r="E25" s="865"/>
      <c r="F25" s="865"/>
      <c r="G25" s="861"/>
      <c r="H25" s="861"/>
      <c r="I25" s="861"/>
      <c r="J25" s="861"/>
      <c r="K25" s="861"/>
    </row>
    <row r="26" spans="1:11" s="8" customFormat="1" ht="15.6" customHeight="1" x14ac:dyDescent="0.2">
      <c r="A26" s="115"/>
      <c r="B26" s="862" t="s">
        <v>557</v>
      </c>
      <c r="C26" s="870" t="s">
        <v>483</v>
      </c>
      <c r="D26" s="865">
        <v>124408</v>
      </c>
      <c r="E26" s="865"/>
      <c r="F26" s="865">
        <f>D26</f>
        <v>124408</v>
      </c>
      <c r="G26" s="836"/>
      <c r="H26" s="836"/>
      <c r="I26" s="836"/>
      <c r="J26" s="836"/>
      <c r="K26" s="836"/>
    </row>
    <row r="27" spans="1:11" s="8" customFormat="1" ht="12" customHeight="1" x14ac:dyDescent="0.2">
      <c r="A27" s="115"/>
      <c r="B27" s="862" t="s">
        <v>558</v>
      </c>
      <c r="C27" s="870" t="s">
        <v>323</v>
      </c>
      <c r="D27" s="865">
        <v>26127</v>
      </c>
      <c r="E27" s="865"/>
      <c r="F27" s="865">
        <f t="shared" ref="F27:F32" si="1">SUM(D27:E27)</f>
        <v>26127</v>
      </c>
      <c r="G27" s="836"/>
      <c r="H27" s="836"/>
      <c r="I27" s="836"/>
      <c r="J27" s="836"/>
      <c r="K27" s="836"/>
    </row>
    <row r="28" spans="1:11" s="8" customFormat="1" ht="12" customHeight="1" x14ac:dyDescent="0.2">
      <c r="A28" s="115"/>
      <c r="B28" s="862" t="s">
        <v>560</v>
      </c>
      <c r="C28" s="870" t="s">
        <v>1006</v>
      </c>
      <c r="D28" s="865"/>
      <c r="E28" s="865"/>
      <c r="F28" s="865">
        <f t="shared" si="1"/>
        <v>0</v>
      </c>
      <c r="G28" s="836"/>
      <c r="H28" s="836"/>
      <c r="I28" s="836"/>
      <c r="J28" s="836"/>
      <c r="K28" s="836"/>
    </row>
    <row r="29" spans="1:11" s="8" customFormat="1" x14ac:dyDescent="0.2">
      <c r="A29" s="115"/>
      <c r="B29" s="862" t="s">
        <v>561</v>
      </c>
      <c r="C29" s="869" t="s">
        <v>1148</v>
      </c>
      <c r="D29" s="865"/>
      <c r="E29" s="865">
        <v>19500</v>
      </c>
      <c r="F29" s="865">
        <f t="shared" si="1"/>
        <v>19500</v>
      </c>
      <c r="G29" s="836"/>
      <c r="H29" s="836"/>
      <c r="I29" s="836"/>
      <c r="J29" s="836"/>
      <c r="K29" s="836"/>
    </row>
    <row r="30" spans="1:11" s="8" customFormat="1" x14ac:dyDescent="0.2">
      <c r="A30" s="115"/>
      <c r="B30" s="862" t="s">
        <v>562</v>
      </c>
      <c r="C30" s="869" t="s">
        <v>321</v>
      </c>
      <c r="D30" s="865"/>
      <c r="E30" s="865">
        <v>75000</v>
      </c>
      <c r="F30" s="865">
        <f t="shared" si="1"/>
        <v>75000</v>
      </c>
      <c r="G30" s="836"/>
      <c r="H30" s="836"/>
      <c r="I30" s="836"/>
      <c r="J30" s="836"/>
      <c r="K30" s="836"/>
    </row>
    <row r="31" spans="1:11" s="8" customFormat="1" x14ac:dyDescent="0.2">
      <c r="A31" s="115"/>
      <c r="B31" s="862" t="s">
        <v>563</v>
      </c>
      <c r="C31" s="869" t="s">
        <v>1144</v>
      </c>
      <c r="D31" s="865"/>
      <c r="E31" s="865">
        <v>5000</v>
      </c>
      <c r="F31" s="865">
        <f t="shared" si="1"/>
        <v>5000</v>
      </c>
      <c r="G31" s="836"/>
      <c r="H31" s="836"/>
      <c r="I31" s="836"/>
      <c r="J31" s="836"/>
      <c r="K31" s="836"/>
    </row>
    <row r="32" spans="1:11" s="8" customFormat="1" x14ac:dyDescent="0.2">
      <c r="A32" s="115"/>
      <c r="B32" s="862" t="s">
        <v>564</v>
      </c>
      <c r="C32" s="869" t="s">
        <v>72</v>
      </c>
      <c r="D32" s="865"/>
      <c r="E32" s="865">
        <v>50000</v>
      </c>
      <c r="F32" s="865">
        <f t="shared" si="1"/>
        <v>50000</v>
      </c>
      <c r="G32" s="836"/>
      <c r="H32" s="836"/>
      <c r="I32" s="836"/>
      <c r="J32" s="836"/>
      <c r="K32" s="836"/>
    </row>
    <row r="33" spans="1:11" s="8" customFormat="1" x14ac:dyDescent="0.2">
      <c r="A33" s="115"/>
      <c r="B33" s="862" t="s">
        <v>565</v>
      </c>
      <c r="C33" s="874" t="s">
        <v>187</v>
      </c>
      <c r="D33" s="868"/>
      <c r="E33" s="868">
        <v>3500</v>
      </c>
      <c r="F33" s="868">
        <f>D33+E33</f>
        <v>3500</v>
      </c>
      <c r="G33" s="836"/>
      <c r="H33" s="836"/>
      <c r="I33" s="836"/>
      <c r="J33" s="836"/>
      <c r="K33" s="836"/>
    </row>
    <row r="34" spans="1:11" s="8" customFormat="1" x14ac:dyDescent="0.2">
      <c r="A34" s="115"/>
      <c r="B34" s="862" t="s">
        <v>566</v>
      </c>
      <c r="C34" s="874" t="s">
        <v>322</v>
      </c>
      <c r="D34" s="868"/>
      <c r="E34" s="868">
        <v>3500</v>
      </c>
      <c r="F34" s="868">
        <f>D34+E34</f>
        <v>3500</v>
      </c>
      <c r="G34" s="836"/>
      <c r="H34" s="836"/>
      <c r="I34" s="836"/>
      <c r="J34" s="836"/>
      <c r="K34" s="836"/>
    </row>
    <row r="35" spans="1:11" s="8" customFormat="1" x14ac:dyDescent="0.2">
      <c r="A35" s="115"/>
      <c r="B35" s="862" t="s">
        <v>567</v>
      </c>
      <c r="C35" s="874" t="s">
        <v>324</v>
      </c>
      <c r="D35" s="868"/>
      <c r="E35" s="868">
        <v>250</v>
      </c>
      <c r="F35" s="868">
        <f>D35+E35</f>
        <v>250</v>
      </c>
      <c r="G35" s="836"/>
      <c r="H35" s="836"/>
      <c r="I35" s="836"/>
      <c r="J35" s="836"/>
      <c r="K35" s="836"/>
    </row>
    <row r="36" spans="1:11" s="8" customFormat="1" x14ac:dyDescent="0.2">
      <c r="A36" s="115"/>
      <c r="B36" s="862" t="s">
        <v>587</v>
      </c>
      <c r="C36" s="869" t="s">
        <v>325</v>
      </c>
      <c r="D36" s="868"/>
      <c r="E36" s="868">
        <v>1500</v>
      </c>
      <c r="F36" s="868">
        <f>E36</f>
        <v>1500</v>
      </c>
      <c r="G36" s="836"/>
      <c r="H36" s="836"/>
      <c r="I36" s="836"/>
      <c r="J36" s="836"/>
      <c r="K36" s="836"/>
    </row>
    <row r="37" spans="1:11" s="8" customFormat="1" x14ac:dyDescent="0.2">
      <c r="A37" s="115"/>
      <c r="B37" s="862" t="s">
        <v>588</v>
      </c>
      <c r="C37" s="869" t="s">
        <v>175</v>
      </c>
      <c r="D37" s="868"/>
      <c r="E37" s="868">
        <v>1000</v>
      </c>
      <c r="F37" s="868">
        <f>SUM(D37:E37)</f>
        <v>1000</v>
      </c>
      <c r="G37" s="875"/>
      <c r="H37" s="836"/>
      <c r="I37" s="836"/>
      <c r="J37" s="836"/>
      <c r="K37" s="836"/>
    </row>
    <row r="38" spans="1:11" s="8" customFormat="1" x14ac:dyDescent="0.2">
      <c r="A38" s="115"/>
      <c r="B38" s="862" t="s">
        <v>589</v>
      </c>
      <c r="C38" s="869" t="s">
        <v>176</v>
      </c>
      <c r="D38" s="868"/>
      <c r="E38" s="868">
        <v>300</v>
      </c>
      <c r="F38" s="868">
        <f t="shared" ref="F38:F56" si="2">D38+E38</f>
        <v>300</v>
      </c>
      <c r="G38" s="836"/>
      <c r="H38" s="836"/>
      <c r="I38" s="836"/>
      <c r="J38" s="836"/>
      <c r="K38" s="836"/>
    </row>
    <row r="39" spans="1:11" s="8" customFormat="1" x14ac:dyDescent="0.2">
      <c r="A39" s="115"/>
      <c r="B39" s="862" t="s">
        <v>590</v>
      </c>
      <c r="C39" s="869" t="s">
        <v>177</v>
      </c>
      <c r="D39" s="868"/>
      <c r="E39" s="868">
        <v>2000</v>
      </c>
      <c r="F39" s="868">
        <f t="shared" si="2"/>
        <v>2000</v>
      </c>
      <c r="G39" s="836"/>
      <c r="H39" s="836"/>
      <c r="I39" s="836"/>
      <c r="J39" s="836"/>
      <c r="K39" s="836"/>
    </row>
    <row r="40" spans="1:11" s="8" customFormat="1" x14ac:dyDescent="0.2">
      <c r="A40" s="115"/>
      <c r="B40" s="862" t="s">
        <v>591</v>
      </c>
      <c r="C40" s="869" t="s">
        <v>294</v>
      </c>
      <c r="D40" s="868"/>
      <c r="E40" s="868">
        <v>1000</v>
      </c>
      <c r="F40" s="868">
        <f t="shared" si="2"/>
        <v>1000</v>
      </c>
      <c r="G40" s="836"/>
      <c r="H40" s="836"/>
      <c r="I40" s="836"/>
      <c r="J40" s="836"/>
      <c r="K40" s="836"/>
    </row>
    <row r="41" spans="1:11" s="8" customFormat="1" x14ac:dyDescent="0.2">
      <c r="A41" s="115"/>
      <c r="B41" s="862" t="s">
        <v>592</v>
      </c>
      <c r="C41" s="869" t="s">
        <v>295</v>
      </c>
      <c r="D41" s="868"/>
      <c r="E41" s="868">
        <v>2000</v>
      </c>
      <c r="F41" s="868">
        <f t="shared" si="2"/>
        <v>2000</v>
      </c>
      <c r="G41" s="836"/>
      <c r="H41" s="836"/>
      <c r="I41" s="836"/>
      <c r="J41" s="836"/>
      <c r="K41" s="836"/>
    </row>
    <row r="42" spans="1:11" s="8" customFormat="1" x14ac:dyDescent="0.2">
      <c r="A42" s="115"/>
      <c r="B42" s="862" t="s">
        <v>593</v>
      </c>
      <c r="C42" s="869" t="s">
        <v>970</v>
      </c>
      <c r="D42" s="868"/>
      <c r="E42" s="868">
        <v>1000</v>
      </c>
      <c r="F42" s="868">
        <f t="shared" si="2"/>
        <v>1000</v>
      </c>
      <c r="G42" s="836"/>
      <c r="H42" s="836"/>
      <c r="I42" s="836"/>
      <c r="J42" s="836"/>
      <c r="K42" s="836"/>
    </row>
    <row r="43" spans="1:11" s="8" customFormat="1" x14ac:dyDescent="0.2">
      <c r="A43" s="115"/>
      <c r="B43" s="862" t="s">
        <v>594</v>
      </c>
      <c r="C43" s="869" t="s">
        <v>971</v>
      </c>
      <c r="D43" s="868"/>
      <c r="E43" s="868">
        <v>400</v>
      </c>
      <c r="F43" s="868">
        <f t="shared" si="2"/>
        <v>400</v>
      </c>
      <c r="G43" s="836"/>
      <c r="H43" s="836"/>
      <c r="I43" s="836"/>
      <c r="J43" s="836"/>
      <c r="K43" s="836"/>
    </row>
    <row r="44" spans="1:11" s="8" customFormat="1" x14ac:dyDescent="0.2">
      <c r="A44" s="115"/>
      <c r="B44" s="862" t="s">
        <v>595</v>
      </c>
      <c r="C44" s="869" t="s">
        <v>1002</v>
      </c>
      <c r="D44" s="868"/>
      <c r="E44" s="868">
        <v>100</v>
      </c>
      <c r="F44" s="868">
        <f t="shared" si="2"/>
        <v>100</v>
      </c>
      <c r="G44" s="836"/>
      <c r="H44" s="836"/>
      <c r="I44" s="836"/>
      <c r="J44" s="836"/>
      <c r="K44" s="836"/>
    </row>
    <row r="45" spans="1:11" s="8" customFormat="1" ht="12.75" customHeight="1" x14ac:dyDescent="0.2">
      <c r="A45" s="115"/>
      <c r="B45" s="862" t="s">
        <v>650</v>
      </c>
      <c r="C45" s="869" t="s">
        <v>1147</v>
      </c>
      <c r="D45" s="868"/>
      <c r="E45" s="868">
        <v>900</v>
      </c>
      <c r="F45" s="868">
        <f t="shared" si="2"/>
        <v>900</v>
      </c>
      <c r="G45" s="836"/>
      <c r="H45" s="836"/>
      <c r="I45" s="836"/>
      <c r="J45" s="836"/>
      <c r="K45" s="836"/>
    </row>
    <row r="46" spans="1:11" s="8" customFormat="1" x14ac:dyDescent="0.2">
      <c r="A46" s="115"/>
      <c r="B46" s="862" t="s">
        <v>651</v>
      </c>
      <c r="C46" s="869" t="s">
        <v>1003</v>
      </c>
      <c r="D46" s="868"/>
      <c r="E46" s="868">
        <v>100</v>
      </c>
      <c r="F46" s="868">
        <f t="shared" si="2"/>
        <v>100</v>
      </c>
      <c r="G46" s="836"/>
      <c r="H46" s="836"/>
      <c r="I46" s="836"/>
      <c r="J46" s="836"/>
      <c r="K46" s="836"/>
    </row>
    <row r="47" spans="1:11" s="8" customFormat="1" x14ac:dyDescent="0.2">
      <c r="A47" s="115"/>
      <c r="B47" s="862" t="s">
        <v>652</v>
      </c>
      <c r="C47" s="876" t="s">
        <v>1004</v>
      </c>
      <c r="D47" s="877"/>
      <c r="E47" s="877">
        <v>75</v>
      </c>
      <c r="F47" s="877">
        <f t="shared" si="2"/>
        <v>75</v>
      </c>
      <c r="G47" s="836"/>
      <c r="H47" s="836"/>
      <c r="I47" s="836"/>
      <c r="J47" s="836"/>
      <c r="K47" s="836"/>
    </row>
    <row r="48" spans="1:11" s="8" customFormat="1" x14ac:dyDescent="0.2">
      <c r="A48" s="115"/>
      <c r="B48" s="862" t="s">
        <v>653</v>
      </c>
      <c r="C48" s="876" t="s">
        <v>1005</v>
      </c>
      <c r="D48" s="877"/>
      <c r="E48" s="877">
        <v>821</v>
      </c>
      <c r="F48" s="877">
        <f t="shared" si="2"/>
        <v>821</v>
      </c>
      <c r="G48" s="836"/>
      <c r="H48" s="836"/>
      <c r="I48" s="836"/>
      <c r="J48" s="836"/>
      <c r="K48" s="836"/>
    </row>
    <row r="49" spans="1:11" s="8" customFormat="1" x14ac:dyDescent="0.2">
      <c r="A49" s="115"/>
      <c r="B49" s="862" t="s">
        <v>121</v>
      </c>
      <c r="C49" s="876" t="s">
        <v>1145</v>
      </c>
      <c r="D49" s="877"/>
      <c r="E49" s="877">
        <v>50</v>
      </c>
      <c r="F49" s="877">
        <f t="shared" si="2"/>
        <v>50</v>
      </c>
      <c r="G49" s="836"/>
      <c r="H49" s="836"/>
      <c r="I49" s="836"/>
      <c r="J49" s="836"/>
      <c r="K49" s="836"/>
    </row>
    <row r="50" spans="1:11" s="8" customFormat="1" ht="24" x14ac:dyDescent="0.2">
      <c r="A50" s="115"/>
      <c r="B50" s="866" t="s">
        <v>678</v>
      </c>
      <c r="C50" s="876" t="s">
        <v>1146</v>
      </c>
      <c r="D50" s="877"/>
      <c r="E50" s="877">
        <v>150</v>
      </c>
      <c r="F50" s="877">
        <f t="shared" si="2"/>
        <v>150</v>
      </c>
      <c r="G50" s="836"/>
      <c r="H50" s="836"/>
      <c r="I50" s="836"/>
      <c r="J50" s="836"/>
      <c r="K50" s="836"/>
    </row>
    <row r="51" spans="1:11" s="8" customFormat="1" x14ac:dyDescent="0.2">
      <c r="A51" s="115"/>
      <c r="B51" s="862" t="s">
        <v>679</v>
      </c>
      <c r="C51" s="876" t="s">
        <v>1161</v>
      </c>
      <c r="D51" s="877"/>
      <c r="E51" s="877">
        <v>127</v>
      </c>
      <c r="F51" s="877">
        <f t="shared" si="2"/>
        <v>127</v>
      </c>
      <c r="G51" s="836"/>
      <c r="H51" s="836"/>
      <c r="I51" s="836"/>
      <c r="J51" s="836"/>
      <c r="K51" s="836"/>
    </row>
    <row r="52" spans="1:11" s="8" customFormat="1" x14ac:dyDescent="0.2">
      <c r="A52" s="115"/>
      <c r="B52" s="862" t="s">
        <v>124</v>
      </c>
      <c r="C52" s="876" t="s">
        <v>1209</v>
      </c>
      <c r="D52" s="877"/>
      <c r="E52" s="877">
        <v>0</v>
      </c>
      <c r="F52" s="877">
        <f t="shared" si="2"/>
        <v>0</v>
      </c>
      <c r="G52" s="836"/>
      <c r="H52" s="836"/>
      <c r="I52" s="836"/>
      <c r="J52" s="836"/>
      <c r="K52" s="836"/>
    </row>
    <row r="53" spans="1:11" s="8" customFormat="1" x14ac:dyDescent="0.2">
      <c r="A53" s="115"/>
      <c r="B53" s="862" t="s">
        <v>125</v>
      </c>
      <c r="C53" s="876" t="s">
        <v>1210</v>
      </c>
      <c r="D53" s="877"/>
      <c r="E53" s="877">
        <v>1000</v>
      </c>
      <c r="F53" s="877">
        <f t="shared" si="2"/>
        <v>1000</v>
      </c>
      <c r="G53" s="836"/>
      <c r="H53" s="836"/>
      <c r="I53" s="836"/>
      <c r="J53" s="836"/>
      <c r="K53" s="836"/>
    </row>
    <row r="54" spans="1:11" s="8" customFormat="1" ht="12.75" customHeight="1" x14ac:dyDescent="0.2">
      <c r="A54" s="115"/>
      <c r="B54" s="862" t="s">
        <v>126</v>
      </c>
      <c r="C54" s="876" t="s">
        <v>1211</v>
      </c>
      <c r="D54" s="877"/>
      <c r="E54" s="877">
        <v>1000</v>
      </c>
      <c r="F54" s="877">
        <f t="shared" si="2"/>
        <v>1000</v>
      </c>
      <c r="G54" s="836"/>
      <c r="H54" s="836"/>
      <c r="I54" s="836"/>
      <c r="J54" s="836"/>
      <c r="K54" s="836"/>
    </row>
    <row r="55" spans="1:11" s="8" customFormat="1" ht="12.75" customHeight="1" x14ac:dyDescent="0.2">
      <c r="A55" s="115"/>
      <c r="B55" s="862" t="s">
        <v>129</v>
      </c>
      <c r="C55" s="876" t="s">
        <v>1255</v>
      </c>
      <c r="D55" s="877"/>
      <c r="E55" s="877">
        <v>300</v>
      </c>
      <c r="F55" s="877">
        <f t="shared" si="2"/>
        <v>300</v>
      </c>
      <c r="G55" s="836"/>
      <c r="H55" s="836"/>
      <c r="I55" s="836"/>
      <c r="J55" s="836"/>
      <c r="K55" s="836"/>
    </row>
    <row r="56" spans="1:11" s="8" customFormat="1" ht="12.75" customHeight="1" x14ac:dyDescent="0.2">
      <c r="A56" s="115"/>
      <c r="B56" s="862" t="s">
        <v>132</v>
      </c>
      <c r="C56" s="876" t="s">
        <v>1281</v>
      </c>
      <c r="D56" s="877">
        <v>800</v>
      </c>
      <c r="E56" s="877">
        <v>21</v>
      </c>
      <c r="F56" s="877">
        <f t="shared" si="2"/>
        <v>821</v>
      </c>
      <c r="G56" s="836"/>
      <c r="H56" s="836"/>
      <c r="I56" s="836"/>
      <c r="J56" s="836"/>
      <c r="K56" s="836"/>
    </row>
    <row r="57" spans="1:11" s="8" customFormat="1" ht="12.75" customHeight="1" x14ac:dyDescent="0.2">
      <c r="A57" s="115"/>
      <c r="B57" s="862"/>
      <c r="C57" s="876"/>
      <c r="D57" s="877"/>
      <c r="E57" s="877"/>
      <c r="F57" s="877"/>
      <c r="G57" s="836"/>
      <c r="H57" s="836"/>
      <c r="I57" s="836"/>
      <c r="J57" s="836"/>
      <c r="K57" s="836"/>
    </row>
    <row r="58" spans="1:11" s="8" customFormat="1" ht="12.75" thickBot="1" x14ac:dyDescent="0.25">
      <c r="A58" s="115"/>
      <c r="B58" s="862" t="s">
        <v>133</v>
      </c>
      <c r="C58" s="869" t="s">
        <v>1119</v>
      </c>
      <c r="D58" s="868">
        <v>0</v>
      </c>
      <c r="E58" s="868">
        <v>189</v>
      </c>
      <c r="F58" s="868">
        <f>SUM(D58:E58)</f>
        <v>189</v>
      </c>
      <c r="G58" s="836"/>
      <c r="H58" s="836"/>
      <c r="I58" s="836"/>
      <c r="J58" s="836"/>
      <c r="K58" s="836"/>
    </row>
    <row r="59" spans="1:11" s="8" customFormat="1" ht="12.75" thickBot="1" x14ac:dyDescent="0.25">
      <c r="A59" s="115"/>
      <c r="B59" s="891" t="s">
        <v>134</v>
      </c>
      <c r="C59" s="892" t="s">
        <v>472</v>
      </c>
      <c r="D59" s="605">
        <f>SUM(D25:D58)</f>
        <v>151335</v>
      </c>
      <c r="E59" s="605">
        <f>SUM(E29:E58)</f>
        <v>170783</v>
      </c>
      <c r="F59" s="605">
        <f>SUM(F25:F58)</f>
        <v>322118</v>
      </c>
      <c r="G59" s="895"/>
      <c r="H59" s="895"/>
      <c r="I59" s="895"/>
      <c r="J59" s="895"/>
      <c r="K59" s="896"/>
    </row>
    <row r="60" spans="1:11" x14ac:dyDescent="0.2">
      <c r="B60" s="887" t="s">
        <v>135</v>
      </c>
      <c r="C60" s="888"/>
      <c r="D60" s="889"/>
      <c r="E60" s="889"/>
      <c r="F60" s="889"/>
      <c r="G60" s="890"/>
      <c r="H60" s="890"/>
      <c r="I60" s="890"/>
      <c r="J60" s="890"/>
      <c r="K60" s="890"/>
    </row>
    <row r="61" spans="1:11" x14ac:dyDescent="0.2">
      <c r="B61" s="862" t="s">
        <v>138</v>
      </c>
      <c r="C61" s="867" t="s">
        <v>1257</v>
      </c>
      <c r="D61" s="878">
        <f>D23+D59</f>
        <v>157085</v>
      </c>
      <c r="E61" s="878">
        <f>E23+E59</f>
        <v>234930</v>
      </c>
      <c r="F61" s="878">
        <f>F23+F59</f>
        <v>392015</v>
      </c>
      <c r="G61" s="861"/>
      <c r="H61" s="861"/>
      <c r="I61" s="861"/>
      <c r="J61" s="861"/>
      <c r="K61" s="861"/>
    </row>
    <row r="62" spans="1:11" x14ac:dyDescent="0.2">
      <c r="B62" s="862" t="s">
        <v>141</v>
      </c>
      <c r="C62" s="879"/>
      <c r="D62" s="880"/>
      <c r="E62" s="880"/>
      <c r="F62" s="880"/>
      <c r="G62" s="861"/>
      <c r="H62" s="861"/>
      <c r="I62" s="861"/>
      <c r="J62" s="861"/>
      <c r="K62" s="861"/>
    </row>
    <row r="63" spans="1:11" x14ac:dyDescent="0.2">
      <c r="B63" s="862" t="s">
        <v>144</v>
      </c>
      <c r="C63" s="881" t="s">
        <v>339</v>
      </c>
      <c r="D63" s="880"/>
      <c r="E63" s="880"/>
      <c r="F63" s="880"/>
      <c r="G63" s="861"/>
      <c r="H63" s="861"/>
      <c r="I63" s="861"/>
      <c r="J63" s="861"/>
      <c r="K63" s="861"/>
    </row>
    <row r="64" spans="1:11" x14ac:dyDescent="0.2">
      <c r="B64" s="862" t="s">
        <v>145</v>
      </c>
      <c r="C64" s="867" t="s">
        <v>469</v>
      </c>
      <c r="D64" s="880"/>
      <c r="E64" s="880"/>
      <c r="F64" s="880"/>
      <c r="G64" s="861"/>
      <c r="H64" s="861"/>
      <c r="I64" s="861"/>
      <c r="J64" s="861"/>
      <c r="K64" s="861"/>
    </row>
    <row r="65" spans="2:11" x14ac:dyDescent="0.2">
      <c r="B65" s="862" t="s">
        <v>148</v>
      </c>
      <c r="C65" s="879" t="s">
        <v>1256</v>
      </c>
      <c r="D65" s="880">
        <v>30</v>
      </c>
      <c r="E65" s="880"/>
      <c r="F65" s="880">
        <f>D65+E65</f>
        <v>30</v>
      </c>
      <c r="G65" s="861"/>
      <c r="H65" s="861"/>
      <c r="I65" s="861"/>
      <c r="J65" s="861"/>
      <c r="K65" s="861"/>
    </row>
    <row r="66" spans="2:11" x14ac:dyDescent="0.2">
      <c r="B66" s="862" t="s">
        <v>149</v>
      </c>
      <c r="C66" s="873" t="s">
        <v>1260</v>
      </c>
      <c r="D66" s="882">
        <f>SUM(D65)</f>
        <v>30</v>
      </c>
      <c r="E66" s="882">
        <f t="shared" ref="E66:F66" si="3">SUM(E65)</f>
        <v>0</v>
      </c>
      <c r="F66" s="882">
        <f t="shared" si="3"/>
        <v>30</v>
      </c>
      <c r="G66" s="861"/>
      <c r="H66" s="861"/>
      <c r="I66" s="861"/>
      <c r="J66" s="861"/>
      <c r="K66" s="861"/>
    </row>
    <row r="67" spans="2:11" ht="12.75" thickBot="1" x14ac:dyDescent="0.25">
      <c r="B67" s="883" t="s">
        <v>150</v>
      </c>
      <c r="C67" s="897"/>
      <c r="D67" s="898"/>
      <c r="E67" s="898"/>
      <c r="F67" s="898"/>
      <c r="G67" s="886"/>
      <c r="H67" s="886"/>
      <c r="I67" s="886"/>
      <c r="J67" s="886"/>
      <c r="K67" s="886"/>
    </row>
    <row r="68" spans="2:11" ht="12.75" thickBot="1" x14ac:dyDescent="0.25">
      <c r="B68" s="891" t="s">
        <v>151</v>
      </c>
      <c r="C68" s="899" t="s">
        <v>1258</v>
      </c>
      <c r="D68" s="900">
        <f>SUM(D66)</f>
        <v>30</v>
      </c>
      <c r="E68" s="900">
        <f>SUM(E66)</f>
        <v>0</v>
      </c>
      <c r="F68" s="900">
        <f>SUM(F66)</f>
        <v>30</v>
      </c>
      <c r="G68" s="893"/>
      <c r="H68" s="893"/>
      <c r="I68" s="893"/>
      <c r="J68" s="893"/>
      <c r="K68" s="894"/>
    </row>
    <row r="69" spans="2:11" x14ac:dyDescent="0.2">
      <c r="B69" s="116" t="s">
        <v>152</v>
      </c>
      <c r="C69" s="705"/>
      <c r="D69" s="706"/>
      <c r="E69" s="706"/>
      <c r="F69" s="706"/>
    </row>
    <row r="70" spans="2:11" ht="24" x14ac:dyDescent="0.2">
      <c r="B70" s="866" t="s">
        <v>154</v>
      </c>
      <c r="C70" s="867" t="s">
        <v>1261</v>
      </c>
      <c r="D70" s="901">
        <f>D23+D66</f>
        <v>5780</v>
      </c>
      <c r="E70" s="901">
        <f>E23+E66</f>
        <v>64147</v>
      </c>
      <c r="F70" s="901">
        <f>F23+F66</f>
        <v>69927</v>
      </c>
      <c r="G70" s="861"/>
      <c r="H70" s="861"/>
      <c r="I70" s="861"/>
      <c r="J70" s="861"/>
      <c r="K70" s="861"/>
    </row>
    <row r="71" spans="2:11" ht="24" x14ac:dyDescent="0.2">
      <c r="B71" s="902" t="s">
        <v>157</v>
      </c>
      <c r="C71" s="867" t="s">
        <v>1262</v>
      </c>
      <c r="D71" s="901">
        <f>D59</f>
        <v>151335</v>
      </c>
      <c r="E71" s="901">
        <f t="shared" ref="E71:F71" si="4">E59</f>
        <v>170783</v>
      </c>
      <c r="F71" s="901">
        <f t="shared" si="4"/>
        <v>322118</v>
      </c>
      <c r="G71" s="861"/>
      <c r="H71" s="861"/>
      <c r="I71" s="861"/>
      <c r="J71" s="861"/>
      <c r="K71" s="861"/>
    </row>
    <row r="72" spans="2:11" ht="12.75" thickBot="1" x14ac:dyDescent="0.25">
      <c r="B72" s="116" t="s">
        <v>159</v>
      </c>
    </row>
    <row r="73" spans="2:11" ht="24.75" thickBot="1" x14ac:dyDescent="0.25">
      <c r="B73" s="903" t="s">
        <v>160</v>
      </c>
      <c r="C73" s="899" t="s">
        <v>1259</v>
      </c>
      <c r="D73" s="900">
        <f>D61+D68</f>
        <v>157115</v>
      </c>
      <c r="E73" s="900">
        <f>E61+E68</f>
        <v>234930</v>
      </c>
      <c r="F73" s="900">
        <f>F61+F68</f>
        <v>392045</v>
      </c>
      <c r="G73" s="893"/>
      <c r="H73" s="893"/>
      <c r="I73" s="893"/>
      <c r="J73" s="893"/>
      <c r="K73" s="894"/>
    </row>
  </sheetData>
  <sheetProtection selectLockedCells="1" selectUnlockedCells="1"/>
  <mergeCells count="9">
    <mergeCell ref="G7:H7"/>
    <mergeCell ref="I7:K7"/>
    <mergeCell ref="B1:F1"/>
    <mergeCell ref="C6:F6"/>
    <mergeCell ref="B7:B8"/>
    <mergeCell ref="C7:C8"/>
    <mergeCell ref="D7:F7"/>
    <mergeCell ref="B3:F3"/>
    <mergeCell ref="B4:F4"/>
  </mergeCells>
  <phoneticPr fontId="33" type="noConversion"/>
  <pageMargins left="0.55118110236220474" right="0.55118110236220474" top="0.98425196850393704" bottom="0.98425196850393704" header="0.51181102362204722" footer="0.51181102362204722"/>
  <pageSetup paperSize="8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B155"/>
  <sheetViews>
    <sheetView workbookViewId="0">
      <pane xSplit="2" ySplit="9" topLeftCell="C142" activePane="bottomRight" state="frozen"/>
      <selection activeCell="B65" sqref="B65"/>
      <selection pane="topRight" activeCell="B65" sqref="B65"/>
      <selection pane="bottomLeft" activeCell="B65" sqref="B65"/>
      <selection pane="bottomRight" activeCell="R157" sqref="R157"/>
    </sheetView>
  </sheetViews>
  <sheetFormatPr defaultColWidth="9.140625" defaultRowHeight="14.1" customHeight="1" x14ac:dyDescent="0.2"/>
  <cols>
    <col min="1" max="1" width="3.7109375" style="235" customWidth="1"/>
    <col min="2" max="2" width="41.42578125" style="240" customWidth="1"/>
    <col min="3" max="3" width="9.85546875" style="82" customWidth="1"/>
    <col min="4" max="6" width="8.7109375" style="82" customWidth="1"/>
    <col min="7" max="9" width="7.85546875" style="82" customWidth="1"/>
    <col min="10" max="12" width="8.42578125" style="86" customWidth="1"/>
    <col min="13" max="15" width="9.85546875" style="91" customWidth="1"/>
    <col min="16" max="16" width="7.28515625" style="91" customWidth="1"/>
    <col min="17" max="16384" width="9.140625" style="81"/>
  </cols>
  <sheetData>
    <row r="1" spans="1:18" ht="12.75" hidden="1" customHeight="1" x14ac:dyDescent="0.2">
      <c r="A1" s="1303" t="s">
        <v>1288</v>
      </c>
      <c r="B1" s="1303"/>
      <c r="C1" s="1303"/>
      <c r="D1" s="1303"/>
      <c r="E1" s="1303"/>
      <c r="F1" s="1303"/>
      <c r="G1" s="1303"/>
      <c r="H1" s="1303"/>
      <c r="I1" s="1303"/>
      <c r="J1" s="1303"/>
      <c r="K1" s="1303"/>
      <c r="L1" s="1303"/>
      <c r="M1" s="1269"/>
      <c r="N1" s="1269"/>
      <c r="O1" s="1269"/>
      <c r="P1" s="1269"/>
    </row>
    <row r="2" spans="1:18" ht="14.1" customHeight="1" x14ac:dyDescent="0.2">
      <c r="A2" s="1304" t="s">
        <v>78</v>
      </c>
      <c r="B2" s="1304"/>
      <c r="C2" s="1304"/>
      <c r="D2" s="1304"/>
      <c r="E2" s="1304"/>
      <c r="F2" s="1304"/>
      <c r="G2" s="1304"/>
      <c r="H2" s="1304"/>
      <c r="I2" s="1304"/>
      <c r="J2" s="1304"/>
      <c r="K2" s="1304"/>
      <c r="L2" s="1304"/>
      <c r="M2" s="1269"/>
      <c r="N2" s="1269"/>
      <c r="O2" s="1269"/>
      <c r="P2" s="1269"/>
    </row>
    <row r="3" spans="1:18" ht="14.1" customHeight="1" x14ac:dyDescent="0.2">
      <c r="A3" s="241"/>
      <c r="B3" s="1312" t="s">
        <v>1137</v>
      </c>
      <c r="C3" s="1312"/>
      <c r="D3" s="1312"/>
      <c r="E3" s="1312"/>
      <c r="F3" s="1312"/>
      <c r="G3" s="1312"/>
      <c r="H3" s="1312"/>
      <c r="I3" s="1312"/>
      <c r="J3" s="1312"/>
      <c r="K3" s="1312"/>
      <c r="L3" s="1312"/>
      <c r="M3" s="1312"/>
      <c r="N3" s="1312"/>
      <c r="O3" s="1312"/>
      <c r="P3" s="1312"/>
    </row>
    <row r="4" spans="1:18" ht="14.25" customHeight="1" thickBot="1" x14ac:dyDescent="0.25">
      <c r="A4" s="1305" t="s">
        <v>311</v>
      </c>
      <c r="B4" s="1306"/>
      <c r="C4" s="1306"/>
      <c r="D4" s="1306"/>
      <c r="E4" s="1306"/>
      <c r="F4" s="1306"/>
      <c r="G4" s="1306"/>
      <c r="H4" s="1306"/>
      <c r="I4" s="1306"/>
      <c r="J4" s="1306"/>
      <c r="K4" s="1306"/>
      <c r="L4" s="1306"/>
      <c r="M4" s="1271"/>
      <c r="N4" s="1271"/>
      <c r="O4" s="1271"/>
      <c r="P4" s="1271"/>
    </row>
    <row r="5" spans="1:18" ht="24" customHeight="1" thickBot="1" x14ac:dyDescent="0.25">
      <c r="A5" s="1307" t="s">
        <v>484</v>
      </c>
      <c r="B5" s="907" t="s">
        <v>57</v>
      </c>
      <c r="C5" s="908" t="s">
        <v>58</v>
      </c>
      <c r="D5" s="908" t="s">
        <v>59</v>
      </c>
      <c r="E5" s="908"/>
      <c r="F5" s="908"/>
      <c r="G5" s="908" t="s">
        <v>60</v>
      </c>
      <c r="H5" s="909"/>
      <c r="I5" s="909"/>
      <c r="J5" s="909" t="s">
        <v>485</v>
      </c>
      <c r="K5" s="909"/>
      <c r="L5" s="909"/>
      <c r="M5" s="909" t="s">
        <v>486</v>
      </c>
      <c r="N5" s="909"/>
      <c r="O5" s="909"/>
      <c r="P5" s="909" t="s">
        <v>487</v>
      </c>
      <c r="Q5" s="910"/>
      <c r="R5" s="911"/>
    </row>
    <row r="6" spans="1:18" ht="1.9" hidden="1" customHeight="1" thickBot="1" x14ac:dyDescent="0.25">
      <c r="A6" s="1307"/>
      <c r="B6" s="912"/>
      <c r="C6" s="108"/>
      <c r="D6" s="108"/>
      <c r="E6" s="108"/>
      <c r="F6" s="108"/>
      <c r="G6" s="108"/>
      <c r="H6" s="109"/>
      <c r="I6" s="109"/>
      <c r="J6" s="109"/>
      <c r="K6" s="905"/>
      <c r="L6" s="905"/>
      <c r="M6" s="435"/>
      <c r="N6" s="435"/>
      <c r="O6" s="435"/>
      <c r="P6" s="435"/>
      <c r="Q6" s="906"/>
      <c r="R6" s="913"/>
    </row>
    <row r="7" spans="1:18" s="189" customFormat="1" ht="23.25" customHeight="1" thickBot="1" x14ac:dyDescent="0.25">
      <c r="A7" s="1307"/>
      <c r="B7" s="912"/>
      <c r="C7" s="108"/>
      <c r="D7" s="1316" t="s">
        <v>327</v>
      </c>
      <c r="E7" s="1317"/>
      <c r="F7" s="1317"/>
      <c r="G7" s="1317"/>
      <c r="H7" s="1317"/>
      <c r="I7" s="1317"/>
      <c r="J7" s="1317"/>
      <c r="K7" s="1317"/>
      <c r="L7" s="1318"/>
      <c r="M7" s="1322" t="s">
        <v>1099</v>
      </c>
      <c r="N7" s="1323"/>
      <c r="O7" s="1323"/>
      <c r="P7" s="1323"/>
      <c r="Q7" s="1323"/>
      <c r="R7" s="1324"/>
    </row>
    <row r="8" spans="1:18" s="80" customFormat="1" ht="30.75" customHeight="1" thickBot="1" x14ac:dyDescent="0.25">
      <c r="A8" s="1307"/>
      <c r="B8" s="1308" t="s">
        <v>86</v>
      </c>
      <c r="C8" s="1310" t="s">
        <v>488</v>
      </c>
      <c r="D8" s="1313" t="s">
        <v>489</v>
      </c>
      <c r="E8" s="1314"/>
      <c r="F8" s="1314"/>
      <c r="G8" s="1315" t="s">
        <v>490</v>
      </c>
      <c r="H8" s="1315"/>
      <c r="I8" s="1315"/>
      <c r="J8" s="1315" t="s">
        <v>491</v>
      </c>
      <c r="K8" s="1315"/>
      <c r="L8" s="1315"/>
      <c r="M8" s="1319" t="s">
        <v>62</v>
      </c>
      <c r="N8" s="1320"/>
      <c r="O8" s="1320"/>
      <c r="P8" s="1315" t="s">
        <v>63</v>
      </c>
      <c r="Q8" s="1315"/>
      <c r="R8" s="1321"/>
    </row>
    <row r="9" spans="1:18" s="80" customFormat="1" ht="41.25" customHeight="1" thickBot="1" x14ac:dyDescent="0.25">
      <c r="A9" s="1307"/>
      <c r="B9" s="1309"/>
      <c r="C9" s="1311"/>
      <c r="D9" s="914" t="s">
        <v>62</v>
      </c>
      <c r="E9" s="914" t="s">
        <v>63</v>
      </c>
      <c r="F9" s="914" t="s">
        <v>64</v>
      </c>
      <c r="G9" s="915" t="s">
        <v>62</v>
      </c>
      <c r="H9" s="915" t="s">
        <v>63</v>
      </c>
      <c r="I9" s="915" t="s">
        <v>64</v>
      </c>
      <c r="J9" s="914" t="s">
        <v>62</v>
      </c>
      <c r="K9" s="914" t="s">
        <v>63</v>
      </c>
      <c r="L9" s="914" t="s">
        <v>64</v>
      </c>
      <c r="M9" s="914" t="s">
        <v>62</v>
      </c>
      <c r="N9" s="914" t="s">
        <v>63</v>
      </c>
      <c r="O9" s="914" t="s">
        <v>64</v>
      </c>
      <c r="P9" s="914" t="s">
        <v>62</v>
      </c>
      <c r="Q9" s="914" t="s">
        <v>63</v>
      </c>
      <c r="R9" s="916" t="s">
        <v>64</v>
      </c>
    </row>
    <row r="10" spans="1:18" ht="14.1" customHeight="1" x14ac:dyDescent="0.2">
      <c r="A10" s="102"/>
      <c r="B10" s="83" t="s">
        <v>78</v>
      </c>
      <c r="C10" s="84"/>
      <c r="D10" s="84"/>
      <c r="E10" s="84"/>
      <c r="F10" s="84"/>
      <c r="G10" s="84"/>
      <c r="H10" s="84"/>
      <c r="I10" s="84"/>
      <c r="J10" s="85"/>
      <c r="K10" s="85"/>
      <c r="L10" s="85"/>
      <c r="P10" s="435"/>
      <c r="Q10" s="432"/>
    </row>
    <row r="11" spans="1:18" ht="14.1" customHeight="1" x14ac:dyDescent="0.2">
      <c r="A11" s="102"/>
      <c r="B11" s="83"/>
      <c r="C11" s="84"/>
      <c r="D11" s="84"/>
      <c r="E11" s="84"/>
      <c r="F11" s="84"/>
      <c r="G11" s="84"/>
      <c r="H11" s="84"/>
      <c r="I11" s="84"/>
      <c r="J11" s="85"/>
      <c r="K11" s="85"/>
      <c r="L11" s="85"/>
      <c r="P11" s="435"/>
      <c r="Q11" s="432"/>
    </row>
    <row r="12" spans="1:18" ht="14.1" customHeight="1" x14ac:dyDescent="0.2">
      <c r="A12" s="917" t="s">
        <v>492</v>
      </c>
      <c r="B12" s="918" t="s">
        <v>493</v>
      </c>
      <c r="C12" s="919"/>
      <c r="D12" s="919"/>
      <c r="E12" s="919"/>
      <c r="F12" s="919"/>
      <c r="G12" s="919"/>
      <c r="H12" s="919"/>
      <c r="I12" s="919"/>
      <c r="J12" s="920"/>
      <c r="K12" s="920"/>
      <c r="L12" s="920"/>
      <c r="M12" s="921"/>
      <c r="N12" s="921"/>
      <c r="O12" s="921"/>
      <c r="P12" s="921"/>
      <c r="Q12" s="906"/>
      <c r="R12" s="906"/>
    </row>
    <row r="13" spans="1:18" ht="14.1" customHeight="1" x14ac:dyDescent="0.2">
      <c r="A13" s="922" t="s">
        <v>494</v>
      </c>
      <c r="B13" s="923" t="s">
        <v>1264</v>
      </c>
      <c r="C13" s="924" t="s">
        <v>979</v>
      </c>
      <c r="D13" s="919">
        <v>270</v>
      </c>
      <c r="E13" s="919"/>
      <c r="F13" s="919"/>
      <c r="G13" s="919">
        <v>73</v>
      </c>
      <c r="H13" s="919"/>
      <c r="I13" s="919"/>
      <c r="J13" s="920">
        <f>D13+G13</f>
        <v>343</v>
      </c>
      <c r="K13" s="920"/>
      <c r="L13" s="920"/>
      <c r="M13" s="925">
        <f>J13</f>
        <v>343</v>
      </c>
      <c r="N13" s="925"/>
      <c r="O13" s="925"/>
      <c r="P13" s="921"/>
      <c r="Q13" s="906"/>
      <c r="R13" s="906"/>
    </row>
    <row r="14" spans="1:18" ht="14.1" customHeight="1" x14ac:dyDescent="0.2">
      <c r="A14" s="922" t="s">
        <v>502</v>
      </c>
      <c r="B14" s="923" t="s">
        <v>1299</v>
      </c>
      <c r="C14" s="924" t="s">
        <v>979</v>
      </c>
      <c r="D14" s="919">
        <v>9500</v>
      </c>
      <c r="E14" s="919"/>
      <c r="F14" s="919"/>
      <c r="G14" s="919">
        <v>2565</v>
      </c>
      <c r="H14" s="919"/>
      <c r="I14" s="919"/>
      <c r="J14" s="920">
        <f>D14+G14</f>
        <v>12065</v>
      </c>
      <c r="K14" s="920"/>
      <c r="L14" s="920"/>
      <c r="M14" s="925">
        <f>J14</f>
        <v>12065</v>
      </c>
      <c r="N14" s="925"/>
      <c r="O14" s="925"/>
      <c r="P14" s="921"/>
      <c r="Q14" s="906"/>
      <c r="R14" s="906"/>
    </row>
    <row r="15" spans="1:18" ht="14.1" customHeight="1" x14ac:dyDescent="0.2">
      <c r="A15" s="922"/>
      <c r="B15" s="923"/>
      <c r="C15" s="924"/>
      <c r="D15" s="919"/>
      <c r="E15" s="919"/>
      <c r="F15" s="919"/>
      <c r="G15" s="919"/>
      <c r="H15" s="919"/>
      <c r="I15" s="919"/>
      <c r="J15" s="920"/>
      <c r="K15" s="920"/>
      <c r="L15" s="920"/>
      <c r="M15" s="925"/>
      <c r="N15" s="925"/>
      <c r="O15" s="925"/>
      <c r="P15" s="921"/>
      <c r="Q15" s="906"/>
      <c r="R15" s="906"/>
    </row>
    <row r="16" spans="1:18" ht="14.1" customHeight="1" x14ac:dyDescent="0.2">
      <c r="A16" s="922"/>
      <c r="B16" s="923"/>
      <c r="C16" s="924"/>
      <c r="D16" s="919"/>
      <c r="E16" s="919"/>
      <c r="F16" s="919"/>
      <c r="G16" s="919"/>
      <c r="H16" s="919"/>
      <c r="I16" s="919"/>
      <c r="J16" s="920"/>
      <c r="K16" s="920"/>
      <c r="L16" s="920"/>
      <c r="M16" s="925"/>
      <c r="N16" s="925"/>
      <c r="O16" s="925"/>
      <c r="P16" s="921"/>
      <c r="Q16" s="906"/>
      <c r="R16" s="906"/>
    </row>
    <row r="17" spans="1:18" ht="14.1" customHeight="1" x14ac:dyDescent="0.2">
      <c r="A17" s="922"/>
      <c r="B17" s="923"/>
      <c r="C17" s="924"/>
      <c r="D17" s="919"/>
      <c r="E17" s="919"/>
      <c r="F17" s="919"/>
      <c r="G17" s="919"/>
      <c r="H17" s="919"/>
      <c r="I17" s="919"/>
      <c r="J17" s="920"/>
      <c r="K17" s="920"/>
      <c r="L17" s="920"/>
      <c r="M17" s="925"/>
      <c r="N17" s="925"/>
      <c r="O17" s="925"/>
      <c r="P17" s="921"/>
      <c r="Q17" s="906"/>
      <c r="R17" s="906"/>
    </row>
    <row r="18" spans="1:18" ht="14.1" customHeight="1" x14ac:dyDescent="0.2">
      <c r="A18" s="922"/>
      <c r="B18" s="923"/>
      <c r="C18" s="924"/>
      <c r="D18" s="919"/>
      <c r="E18" s="919"/>
      <c r="F18" s="919"/>
      <c r="G18" s="919"/>
      <c r="H18" s="919"/>
      <c r="I18" s="919"/>
      <c r="J18" s="920"/>
      <c r="K18" s="920"/>
      <c r="L18" s="920"/>
      <c r="M18" s="925"/>
      <c r="N18" s="925"/>
      <c r="O18" s="925"/>
      <c r="P18" s="921"/>
      <c r="Q18" s="906"/>
      <c r="R18" s="906"/>
    </row>
    <row r="19" spans="1:18" s="87" customFormat="1" ht="13.15" customHeight="1" thickBot="1" x14ac:dyDescent="0.25">
      <c r="A19" s="961"/>
      <c r="B19" s="962"/>
      <c r="C19" s="963"/>
      <c r="D19" s="964"/>
      <c r="E19" s="964"/>
      <c r="F19" s="964"/>
      <c r="G19" s="964"/>
      <c r="H19" s="964"/>
      <c r="I19" s="964"/>
      <c r="J19" s="965"/>
      <c r="K19" s="965"/>
      <c r="L19" s="965"/>
      <c r="M19" s="966"/>
      <c r="N19" s="966"/>
      <c r="O19" s="966"/>
      <c r="P19" s="966"/>
      <c r="Q19" s="967"/>
      <c r="R19" s="967"/>
    </row>
    <row r="20" spans="1:18" s="87" customFormat="1" ht="15" customHeight="1" thickBot="1" x14ac:dyDescent="0.25">
      <c r="A20" s="974"/>
      <c r="B20" s="975" t="s">
        <v>496</v>
      </c>
      <c r="C20" s="976"/>
      <c r="D20" s="977">
        <f>D13+D14</f>
        <v>9770</v>
      </c>
      <c r="E20" s="977"/>
      <c r="F20" s="977"/>
      <c r="G20" s="977">
        <f t="shared" ref="G20:P20" si="0">G13+G14</f>
        <v>2638</v>
      </c>
      <c r="H20" s="977"/>
      <c r="I20" s="977"/>
      <c r="J20" s="977">
        <f t="shared" si="0"/>
        <v>12408</v>
      </c>
      <c r="K20" s="977"/>
      <c r="L20" s="977"/>
      <c r="M20" s="977">
        <f t="shared" si="0"/>
        <v>12408</v>
      </c>
      <c r="N20" s="977"/>
      <c r="O20" s="977"/>
      <c r="P20" s="977">
        <f t="shared" si="0"/>
        <v>0</v>
      </c>
      <c r="Q20" s="978"/>
      <c r="R20" s="979"/>
    </row>
    <row r="21" spans="1:18" ht="14.1" customHeight="1" x14ac:dyDescent="0.2">
      <c r="A21" s="968"/>
      <c r="B21" s="969"/>
      <c r="C21" s="970"/>
      <c r="D21" s="970"/>
      <c r="E21" s="970"/>
      <c r="F21" s="970"/>
      <c r="G21" s="970"/>
      <c r="H21" s="970"/>
      <c r="I21" s="970"/>
      <c r="J21" s="971"/>
      <c r="K21" s="971"/>
      <c r="L21" s="971"/>
      <c r="M21" s="972"/>
      <c r="N21" s="972"/>
      <c r="O21" s="972"/>
      <c r="P21" s="972"/>
      <c r="Q21" s="973"/>
      <c r="R21" s="973"/>
    </row>
    <row r="22" spans="1:18" ht="12" customHeight="1" x14ac:dyDescent="0.2">
      <c r="A22" s="931" t="s">
        <v>497</v>
      </c>
      <c r="B22" s="918" t="s">
        <v>498</v>
      </c>
      <c r="C22" s="919"/>
      <c r="D22" s="919"/>
      <c r="E22" s="919"/>
      <c r="F22" s="919"/>
      <c r="G22" s="919"/>
      <c r="H22" s="919"/>
      <c r="I22" s="919"/>
      <c r="J22" s="920"/>
      <c r="K22" s="920"/>
      <c r="L22" s="920"/>
      <c r="M22" s="921"/>
      <c r="N22" s="921"/>
      <c r="O22" s="921"/>
      <c r="P22" s="921"/>
      <c r="Q22" s="906"/>
      <c r="R22" s="906"/>
    </row>
    <row r="23" spans="1:18" ht="26.25" customHeight="1" x14ac:dyDescent="0.2">
      <c r="A23" s="932" t="s">
        <v>494</v>
      </c>
      <c r="B23" s="926" t="s">
        <v>1241</v>
      </c>
      <c r="C23" s="927" t="s">
        <v>495</v>
      </c>
      <c r="D23" s="924">
        <v>7874</v>
      </c>
      <c r="E23" s="924"/>
      <c r="F23" s="924"/>
      <c r="G23" s="924">
        <v>2126</v>
      </c>
      <c r="H23" s="924"/>
      <c r="I23" s="924"/>
      <c r="J23" s="933">
        <f>D23+G23</f>
        <v>10000</v>
      </c>
      <c r="K23" s="933"/>
      <c r="L23" s="933"/>
      <c r="M23" s="924">
        <f>J23</f>
        <v>10000</v>
      </c>
      <c r="N23" s="924"/>
      <c r="O23" s="924"/>
      <c r="P23" s="924"/>
      <c r="Q23" s="934"/>
      <c r="R23" s="906"/>
    </row>
    <row r="24" spans="1:18" ht="17.25" customHeight="1" x14ac:dyDescent="0.2">
      <c r="A24" s="932" t="s">
        <v>502</v>
      </c>
      <c r="B24" s="926" t="s">
        <v>1265</v>
      </c>
      <c r="C24" s="924" t="s">
        <v>1266</v>
      </c>
      <c r="D24" s="924">
        <v>353</v>
      </c>
      <c r="E24" s="924"/>
      <c r="F24" s="924"/>
      <c r="G24" s="924">
        <v>95</v>
      </c>
      <c r="H24" s="924"/>
      <c r="I24" s="924"/>
      <c r="J24" s="933">
        <f>D24+G24</f>
        <v>448</v>
      </c>
      <c r="K24" s="933"/>
      <c r="L24" s="933"/>
      <c r="M24" s="924">
        <f>J24</f>
        <v>448</v>
      </c>
      <c r="N24" s="924"/>
      <c r="O24" s="924"/>
      <c r="P24" s="924"/>
      <c r="Q24" s="934"/>
      <c r="R24" s="906"/>
    </row>
    <row r="25" spans="1:18" ht="17.25" customHeight="1" x14ac:dyDescent="0.2">
      <c r="A25" s="932"/>
      <c r="B25" s="926"/>
      <c r="C25" s="924"/>
      <c r="D25" s="924"/>
      <c r="E25" s="924"/>
      <c r="F25" s="924"/>
      <c r="G25" s="924"/>
      <c r="H25" s="924"/>
      <c r="I25" s="924"/>
      <c r="J25" s="933"/>
      <c r="K25" s="933"/>
      <c r="L25" s="933"/>
      <c r="M25" s="924"/>
      <c r="N25" s="924"/>
      <c r="O25" s="924"/>
      <c r="P25" s="924"/>
      <c r="Q25" s="934"/>
      <c r="R25" s="906"/>
    </row>
    <row r="26" spans="1:18" ht="13.5" customHeight="1" thickBot="1" x14ac:dyDescent="0.25">
      <c r="A26" s="980"/>
      <c r="B26" s="981"/>
      <c r="C26" s="966"/>
      <c r="D26" s="964"/>
      <c r="E26" s="964"/>
      <c r="F26" s="964"/>
      <c r="G26" s="964"/>
      <c r="H26" s="964"/>
      <c r="I26" s="964"/>
      <c r="J26" s="965"/>
      <c r="K26" s="965"/>
      <c r="L26" s="965"/>
      <c r="M26" s="964"/>
      <c r="N26" s="964"/>
      <c r="O26" s="964"/>
      <c r="P26" s="964"/>
      <c r="Q26" s="982"/>
      <c r="R26" s="983"/>
    </row>
    <row r="27" spans="1:18" ht="12" customHeight="1" thickBot="1" x14ac:dyDescent="0.25">
      <c r="A27" s="985"/>
      <c r="B27" s="986" t="s">
        <v>499</v>
      </c>
      <c r="C27" s="976"/>
      <c r="D27" s="977">
        <f>SUM(D23:D26)</f>
        <v>8227</v>
      </c>
      <c r="E27" s="977"/>
      <c r="F27" s="977"/>
      <c r="G27" s="977">
        <f>SUM(G23:G26)</f>
        <v>2221</v>
      </c>
      <c r="H27" s="977"/>
      <c r="I27" s="977"/>
      <c r="J27" s="977">
        <f>SUM(J23:J26)</f>
        <v>10448</v>
      </c>
      <c r="K27" s="977"/>
      <c r="L27" s="977"/>
      <c r="M27" s="977">
        <f>SUM(M23:M26)</f>
        <v>10448</v>
      </c>
      <c r="N27" s="977"/>
      <c r="O27" s="977"/>
      <c r="P27" s="977">
        <f>SUM(P23:P26)</f>
        <v>0</v>
      </c>
      <c r="Q27" s="987"/>
      <c r="R27" s="988"/>
    </row>
    <row r="28" spans="1:18" ht="12" customHeight="1" x14ac:dyDescent="0.2">
      <c r="A28" s="968"/>
      <c r="B28" s="984"/>
      <c r="C28" s="970"/>
      <c r="D28" s="970"/>
      <c r="E28" s="970"/>
      <c r="F28" s="970"/>
      <c r="G28" s="970"/>
      <c r="H28" s="970"/>
      <c r="I28" s="970"/>
      <c r="J28" s="971"/>
      <c r="K28" s="971"/>
      <c r="L28" s="971"/>
      <c r="M28" s="972"/>
      <c r="N28" s="972"/>
      <c r="O28" s="972"/>
      <c r="P28" s="972"/>
      <c r="Q28" s="973"/>
      <c r="R28" s="973"/>
    </row>
    <row r="29" spans="1:18" ht="15.75" customHeight="1" x14ac:dyDescent="0.2">
      <c r="A29" s="935" t="s">
        <v>500</v>
      </c>
      <c r="B29" s="936" t="s">
        <v>501</v>
      </c>
      <c r="C29" s="937"/>
      <c r="D29" s="919"/>
      <c r="E29" s="919"/>
      <c r="F29" s="919"/>
      <c r="G29" s="919"/>
      <c r="H29" s="919"/>
      <c r="I29" s="919"/>
      <c r="J29" s="920"/>
      <c r="K29" s="920"/>
      <c r="L29" s="920"/>
      <c r="M29" s="921"/>
      <c r="N29" s="921"/>
      <c r="O29" s="921"/>
      <c r="P29" s="921"/>
      <c r="Q29" s="906"/>
      <c r="R29" s="906"/>
    </row>
    <row r="30" spans="1:18" s="87" customFormat="1" ht="19.5" customHeight="1" x14ac:dyDescent="0.2">
      <c r="A30" s="938" t="s">
        <v>494</v>
      </c>
      <c r="B30" s="939" t="s">
        <v>1120</v>
      </c>
      <c r="C30" s="924" t="s">
        <v>979</v>
      </c>
      <c r="D30" s="924">
        <v>3495</v>
      </c>
      <c r="E30" s="924"/>
      <c r="F30" s="924"/>
      <c r="G30" s="924">
        <v>945</v>
      </c>
      <c r="H30" s="924"/>
      <c r="I30" s="924"/>
      <c r="J30" s="933">
        <f>D30+G30</f>
        <v>4440</v>
      </c>
      <c r="K30" s="933"/>
      <c r="L30" s="933"/>
      <c r="M30" s="924">
        <f t="shared" ref="M30:M35" si="1">J30</f>
        <v>4440</v>
      </c>
      <c r="N30" s="924"/>
      <c r="O30" s="924"/>
      <c r="P30" s="925"/>
      <c r="Q30" s="929"/>
      <c r="R30" s="929"/>
    </row>
    <row r="31" spans="1:18" s="87" customFormat="1" ht="19.5" customHeight="1" x14ac:dyDescent="0.2">
      <c r="A31" s="938" t="s">
        <v>1154</v>
      </c>
      <c r="B31" s="939" t="s">
        <v>1014</v>
      </c>
      <c r="C31" s="927" t="s">
        <v>495</v>
      </c>
      <c r="D31" s="924">
        <f>108835+10945</f>
        <v>119780</v>
      </c>
      <c r="E31" s="924"/>
      <c r="F31" s="924"/>
      <c r="G31" s="924">
        <f>29386+2954</f>
        <v>32340</v>
      </c>
      <c r="H31" s="924"/>
      <c r="I31" s="924"/>
      <c r="J31" s="933">
        <f>D31+G31</f>
        <v>152120</v>
      </c>
      <c r="K31" s="933"/>
      <c r="L31" s="933"/>
      <c r="M31" s="924">
        <f t="shared" si="1"/>
        <v>152120</v>
      </c>
      <c r="N31" s="924"/>
      <c r="O31" s="924"/>
      <c r="P31" s="925"/>
      <c r="Q31" s="929"/>
      <c r="R31" s="929"/>
    </row>
    <row r="32" spans="1:18" s="87" customFormat="1" ht="24.75" customHeight="1" x14ac:dyDescent="0.2">
      <c r="A32" s="938" t="s">
        <v>1153</v>
      </c>
      <c r="B32" s="939" t="s">
        <v>1155</v>
      </c>
      <c r="C32" s="924" t="s">
        <v>979</v>
      </c>
      <c r="D32" s="924">
        <v>29528</v>
      </c>
      <c r="E32" s="924"/>
      <c r="F32" s="924"/>
      <c r="G32" s="924">
        <v>7972</v>
      </c>
      <c r="H32" s="924"/>
      <c r="I32" s="924"/>
      <c r="J32" s="933">
        <f>SUM(D32:G32)</f>
        <v>37500</v>
      </c>
      <c r="K32" s="933"/>
      <c r="L32" s="933"/>
      <c r="M32" s="924">
        <f t="shared" si="1"/>
        <v>37500</v>
      </c>
      <c r="N32" s="924"/>
      <c r="O32" s="924"/>
      <c r="P32" s="925"/>
      <c r="Q32" s="929"/>
      <c r="R32" s="929"/>
    </row>
    <row r="33" spans="1:20" s="87" customFormat="1" ht="23.25" customHeight="1" x14ac:dyDescent="0.2">
      <c r="A33" s="938" t="s">
        <v>503</v>
      </c>
      <c r="B33" s="939" t="s">
        <v>1156</v>
      </c>
      <c r="C33" s="927" t="s">
        <v>495</v>
      </c>
      <c r="D33" s="924">
        <v>21870</v>
      </c>
      <c r="E33" s="924"/>
      <c r="F33" s="924"/>
      <c r="G33" s="924">
        <v>5905</v>
      </c>
      <c r="H33" s="924"/>
      <c r="I33" s="924"/>
      <c r="J33" s="933">
        <f t="shared" ref="J33:J46" si="2">D33+G33</f>
        <v>27775</v>
      </c>
      <c r="K33" s="933"/>
      <c r="L33" s="933"/>
      <c r="M33" s="924">
        <f t="shared" si="1"/>
        <v>27775</v>
      </c>
      <c r="N33" s="924"/>
      <c r="O33" s="924"/>
      <c r="P33" s="924"/>
      <c r="Q33" s="929"/>
      <c r="R33" s="929"/>
    </row>
    <row r="34" spans="1:20" s="87" customFormat="1" ht="24.75" customHeight="1" x14ac:dyDescent="0.2">
      <c r="A34" s="938" t="s">
        <v>504</v>
      </c>
      <c r="B34" s="939" t="s">
        <v>992</v>
      </c>
      <c r="C34" s="927" t="s">
        <v>495</v>
      </c>
      <c r="D34" s="924">
        <f>23622-15748</f>
        <v>7874</v>
      </c>
      <c r="E34" s="924"/>
      <c r="F34" s="924"/>
      <c r="G34" s="924">
        <f>6378-4252</f>
        <v>2126</v>
      </c>
      <c r="H34" s="924"/>
      <c r="I34" s="924"/>
      <c r="J34" s="933">
        <f t="shared" si="2"/>
        <v>10000</v>
      </c>
      <c r="K34" s="933"/>
      <c r="L34" s="933"/>
      <c r="M34" s="924">
        <f t="shared" si="1"/>
        <v>10000</v>
      </c>
      <c r="N34" s="924"/>
      <c r="O34" s="924"/>
      <c r="P34" s="925"/>
      <c r="Q34" s="929"/>
      <c r="R34" s="929"/>
    </row>
    <row r="35" spans="1:20" s="87" customFormat="1" ht="26.25" customHeight="1" x14ac:dyDescent="0.2">
      <c r="A35" s="938" t="s">
        <v>505</v>
      </c>
      <c r="B35" s="926" t="s">
        <v>1222</v>
      </c>
      <c r="C35" s="927" t="s">
        <v>495</v>
      </c>
      <c r="D35" s="924">
        <v>723404</v>
      </c>
      <c r="E35" s="924"/>
      <c r="F35" s="924"/>
      <c r="G35" s="924">
        <v>195319</v>
      </c>
      <c r="H35" s="924"/>
      <c r="I35" s="924"/>
      <c r="J35" s="933">
        <f t="shared" si="2"/>
        <v>918723</v>
      </c>
      <c r="K35" s="933"/>
      <c r="L35" s="933"/>
      <c r="M35" s="924">
        <f t="shared" si="1"/>
        <v>918723</v>
      </c>
      <c r="N35" s="924"/>
      <c r="O35" s="924"/>
      <c r="P35" s="925"/>
      <c r="Q35" s="929"/>
      <c r="R35" s="929"/>
    </row>
    <row r="36" spans="1:20" s="87" customFormat="1" ht="21.75" customHeight="1" x14ac:dyDescent="0.2">
      <c r="A36" s="938" t="s">
        <v>506</v>
      </c>
      <c r="B36" s="940" t="s">
        <v>188</v>
      </c>
      <c r="C36" s="927" t="s">
        <v>495</v>
      </c>
      <c r="D36" s="924">
        <v>5468</v>
      </c>
      <c r="E36" s="924"/>
      <c r="F36" s="924"/>
      <c r="G36" s="924">
        <v>1486</v>
      </c>
      <c r="H36" s="924"/>
      <c r="I36" s="924"/>
      <c r="J36" s="933">
        <f t="shared" si="2"/>
        <v>6954</v>
      </c>
      <c r="K36" s="933"/>
      <c r="L36" s="933"/>
      <c r="M36" s="924"/>
      <c r="N36" s="924"/>
      <c r="O36" s="924"/>
      <c r="P36" s="924">
        <f>J36</f>
        <v>6954</v>
      </c>
      <c r="Q36" s="929"/>
      <c r="R36" s="929"/>
    </row>
    <row r="37" spans="1:20" s="87" customFormat="1" ht="36.75" customHeight="1" x14ac:dyDescent="0.2">
      <c r="A37" s="938" t="s">
        <v>1141</v>
      </c>
      <c r="B37" s="941" t="s">
        <v>1124</v>
      </c>
      <c r="C37" s="924" t="s">
        <v>495</v>
      </c>
      <c r="D37" s="924">
        <v>141228</v>
      </c>
      <c r="E37" s="924"/>
      <c r="F37" s="924"/>
      <c r="G37" s="924">
        <v>38132</v>
      </c>
      <c r="H37" s="924"/>
      <c r="I37" s="924"/>
      <c r="J37" s="933">
        <f t="shared" si="2"/>
        <v>179360</v>
      </c>
      <c r="K37" s="933"/>
      <c r="L37" s="933"/>
      <c r="M37" s="924">
        <f>J37</f>
        <v>179360</v>
      </c>
      <c r="N37" s="924"/>
      <c r="O37" s="924"/>
      <c r="P37" s="924"/>
      <c r="Q37" s="942"/>
      <c r="R37" s="942"/>
      <c r="S37" s="624"/>
      <c r="T37" s="624"/>
    </row>
    <row r="38" spans="1:20" s="87" customFormat="1" ht="27" customHeight="1" x14ac:dyDescent="0.2">
      <c r="A38" s="938" t="s">
        <v>1142</v>
      </c>
      <c r="B38" s="940" t="s">
        <v>1223</v>
      </c>
      <c r="C38" s="927"/>
      <c r="D38" s="924">
        <v>118110</v>
      </c>
      <c r="E38" s="924"/>
      <c r="F38" s="924"/>
      <c r="G38" s="924">
        <v>31890</v>
      </c>
      <c r="H38" s="924"/>
      <c r="I38" s="924"/>
      <c r="J38" s="933">
        <f t="shared" si="2"/>
        <v>150000</v>
      </c>
      <c r="K38" s="933"/>
      <c r="L38" s="933"/>
      <c r="M38" s="924">
        <f>J38</f>
        <v>150000</v>
      </c>
      <c r="N38" s="924"/>
      <c r="O38" s="924"/>
      <c r="P38" s="924"/>
      <c r="Q38" s="929"/>
      <c r="R38" s="929"/>
    </row>
    <row r="39" spans="1:20" s="87" customFormat="1" ht="26.25" customHeight="1" x14ac:dyDescent="0.2">
      <c r="A39" s="938" t="s">
        <v>1143</v>
      </c>
      <c r="B39" s="940" t="s">
        <v>1267</v>
      </c>
      <c r="C39" s="927" t="s">
        <v>495</v>
      </c>
      <c r="D39" s="924">
        <v>82214</v>
      </c>
      <c r="E39" s="924"/>
      <c r="F39" s="924"/>
      <c r="G39" s="924">
        <v>22197</v>
      </c>
      <c r="H39" s="924"/>
      <c r="I39" s="924"/>
      <c r="J39" s="933">
        <f t="shared" ref="J39" si="3">D39+G39</f>
        <v>104411</v>
      </c>
      <c r="K39" s="933"/>
      <c r="L39" s="933"/>
      <c r="M39" s="924">
        <f t="shared" ref="M39" si="4">J39</f>
        <v>104411</v>
      </c>
      <c r="N39" s="924"/>
      <c r="O39" s="924"/>
      <c r="P39" s="924"/>
      <c r="Q39" s="929"/>
      <c r="R39" s="929"/>
    </row>
    <row r="40" spans="1:20" s="87" customFormat="1" ht="21.75" customHeight="1" x14ac:dyDescent="0.2">
      <c r="A40" s="938" t="s">
        <v>508</v>
      </c>
      <c r="B40" s="940" t="s">
        <v>1268</v>
      </c>
      <c r="C40" s="927" t="s">
        <v>495</v>
      </c>
      <c r="D40" s="924">
        <v>15008</v>
      </c>
      <c r="E40" s="924"/>
      <c r="F40" s="924"/>
      <c r="G40" s="924">
        <v>4053</v>
      </c>
      <c r="H40" s="924"/>
      <c r="I40" s="924"/>
      <c r="J40" s="933">
        <f t="shared" si="2"/>
        <v>19061</v>
      </c>
      <c r="K40" s="933"/>
      <c r="L40" s="933"/>
      <c r="M40" s="924">
        <f t="shared" ref="M40:M43" si="5">J40</f>
        <v>19061</v>
      </c>
      <c r="N40" s="924"/>
      <c r="O40" s="924"/>
      <c r="P40" s="924"/>
      <c r="Q40" s="929"/>
      <c r="R40" s="929"/>
    </row>
    <row r="41" spans="1:20" s="87" customFormat="1" ht="21.75" customHeight="1" x14ac:dyDescent="0.2">
      <c r="A41" s="938" t="s">
        <v>509</v>
      </c>
      <c r="B41" s="940" t="s">
        <v>1109</v>
      </c>
      <c r="C41" s="927" t="s">
        <v>495</v>
      </c>
      <c r="D41" s="924">
        <v>9213</v>
      </c>
      <c r="E41" s="924"/>
      <c r="F41" s="924"/>
      <c r="G41" s="924">
        <v>2487</v>
      </c>
      <c r="H41" s="924"/>
      <c r="I41" s="924"/>
      <c r="J41" s="933">
        <f t="shared" si="2"/>
        <v>11700</v>
      </c>
      <c r="K41" s="933"/>
      <c r="L41" s="933"/>
      <c r="M41" s="924">
        <f t="shared" si="5"/>
        <v>11700</v>
      </c>
      <c r="N41" s="924"/>
      <c r="O41" s="924"/>
      <c r="P41" s="924"/>
      <c r="Q41" s="934"/>
      <c r="R41" s="929"/>
    </row>
    <row r="42" spans="1:20" s="87" customFormat="1" ht="21.75" customHeight="1" x14ac:dyDescent="0.2">
      <c r="A42" s="938" t="s">
        <v>551</v>
      </c>
      <c r="B42" s="940" t="s">
        <v>978</v>
      </c>
      <c r="C42" s="927" t="s">
        <v>495</v>
      </c>
      <c r="D42" s="924">
        <v>3000</v>
      </c>
      <c r="E42" s="924"/>
      <c r="F42" s="924"/>
      <c r="G42" s="924">
        <v>810</v>
      </c>
      <c r="H42" s="924"/>
      <c r="I42" s="924"/>
      <c r="J42" s="933">
        <f t="shared" si="2"/>
        <v>3810</v>
      </c>
      <c r="K42" s="933"/>
      <c r="L42" s="933"/>
      <c r="M42" s="924">
        <f t="shared" si="5"/>
        <v>3810</v>
      </c>
      <c r="N42" s="924"/>
      <c r="O42" s="924"/>
      <c r="P42" s="924"/>
      <c r="Q42" s="934"/>
      <c r="R42" s="929"/>
    </row>
    <row r="43" spans="1:20" s="87" customFormat="1" ht="21.75" customHeight="1" x14ac:dyDescent="0.2">
      <c r="A43" s="938" t="s">
        <v>552</v>
      </c>
      <c r="B43" s="940" t="s">
        <v>980</v>
      </c>
      <c r="C43" s="927" t="s">
        <v>495</v>
      </c>
      <c r="D43" s="924">
        <v>12367</v>
      </c>
      <c r="E43" s="924"/>
      <c r="F43" s="924"/>
      <c r="G43" s="924">
        <v>3339</v>
      </c>
      <c r="H43" s="924"/>
      <c r="I43" s="924"/>
      <c r="J43" s="933">
        <f t="shared" si="2"/>
        <v>15706</v>
      </c>
      <c r="K43" s="933"/>
      <c r="L43" s="933"/>
      <c r="M43" s="924">
        <f t="shared" si="5"/>
        <v>15706</v>
      </c>
      <c r="N43" s="924"/>
      <c r="O43" s="924"/>
      <c r="P43" s="924"/>
      <c r="Q43" s="934"/>
      <c r="R43" s="929"/>
    </row>
    <row r="44" spans="1:20" s="87" customFormat="1" ht="21.75" customHeight="1" x14ac:dyDescent="0.2">
      <c r="A44" s="943" t="s">
        <v>1212</v>
      </c>
      <c r="B44" s="940" t="s">
        <v>1013</v>
      </c>
      <c r="C44" s="927" t="s">
        <v>495</v>
      </c>
      <c r="D44" s="924">
        <v>2362</v>
      </c>
      <c r="E44" s="924"/>
      <c r="F44" s="924"/>
      <c r="G44" s="924">
        <v>638</v>
      </c>
      <c r="H44" s="924"/>
      <c r="I44" s="924"/>
      <c r="J44" s="933">
        <f t="shared" si="2"/>
        <v>3000</v>
      </c>
      <c r="K44" s="933"/>
      <c r="L44" s="933"/>
      <c r="M44" s="924"/>
      <c r="N44" s="924"/>
      <c r="O44" s="924"/>
      <c r="P44" s="924">
        <f>J44</f>
        <v>3000</v>
      </c>
      <c r="Q44" s="934"/>
      <c r="R44" s="929"/>
    </row>
    <row r="45" spans="1:20" s="87" customFormat="1" ht="27" customHeight="1" x14ac:dyDescent="0.2">
      <c r="A45" s="943" t="s">
        <v>1213</v>
      </c>
      <c r="B45" s="940" t="s">
        <v>1214</v>
      </c>
      <c r="C45" s="924" t="s">
        <v>979</v>
      </c>
      <c r="D45" s="924">
        <v>60829</v>
      </c>
      <c r="E45" s="924"/>
      <c r="F45" s="924"/>
      <c r="G45" s="924">
        <v>16424</v>
      </c>
      <c r="H45" s="924"/>
      <c r="I45" s="924"/>
      <c r="J45" s="933">
        <f t="shared" si="2"/>
        <v>77253</v>
      </c>
      <c r="K45" s="933"/>
      <c r="L45" s="933"/>
      <c r="M45" s="924"/>
      <c r="N45" s="924"/>
      <c r="O45" s="924"/>
      <c r="P45" s="924">
        <f>J45</f>
        <v>77253</v>
      </c>
      <c r="Q45" s="934"/>
      <c r="R45" s="929"/>
    </row>
    <row r="46" spans="1:20" s="87" customFormat="1" ht="26.25" customHeight="1" x14ac:dyDescent="0.2">
      <c r="A46" s="938" t="s">
        <v>554</v>
      </c>
      <c r="B46" s="940" t="s">
        <v>1224</v>
      </c>
      <c r="C46" s="927" t="s">
        <v>495</v>
      </c>
      <c r="D46" s="924">
        <v>41732</v>
      </c>
      <c r="E46" s="924"/>
      <c r="F46" s="924"/>
      <c r="G46" s="924">
        <v>11268</v>
      </c>
      <c r="H46" s="924"/>
      <c r="I46" s="924"/>
      <c r="J46" s="933">
        <f t="shared" si="2"/>
        <v>53000</v>
      </c>
      <c r="K46" s="933"/>
      <c r="L46" s="933"/>
      <c r="M46" s="924">
        <f>J46</f>
        <v>53000</v>
      </c>
      <c r="N46" s="924"/>
      <c r="O46" s="924"/>
      <c r="P46" s="924"/>
      <c r="Q46" s="934"/>
      <c r="R46" s="929"/>
    </row>
    <row r="47" spans="1:20" s="87" customFormat="1" ht="27.75" customHeight="1" x14ac:dyDescent="0.2">
      <c r="A47" s="938" t="s">
        <v>555</v>
      </c>
      <c r="B47" s="944" t="s">
        <v>1215</v>
      </c>
      <c r="C47" s="927" t="s">
        <v>495</v>
      </c>
      <c r="D47" s="924">
        <v>0</v>
      </c>
      <c r="E47" s="924"/>
      <c r="F47" s="924"/>
      <c r="G47" s="924">
        <v>0</v>
      </c>
      <c r="H47" s="924"/>
      <c r="I47" s="924"/>
      <c r="J47" s="933">
        <f t="shared" ref="J47" si="6">D47+G47</f>
        <v>0</v>
      </c>
      <c r="K47" s="933"/>
      <c r="L47" s="933"/>
      <c r="M47" s="924">
        <f>J47</f>
        <v>0</v>
      </c>
      <c r="N47" s="924"/>
      <c r="O47" s="924"/>
      <c r="P47" s="924"/>
      <c r="Q47" s="929"/>
      <c r="R47" s="929"/>
    </row>
    <row r="48" spans="1:20" s="87" customFormat="1" ht="27.75" customHeight="1" x14ac:dyDescent="0.2">
      <c r="A48" s="943" t="s">
        <v>1157</v>
      </c>
      <c r="B48" s="945" t="s">
        <v>1058</v>
      </c>
      <c r="C48" s="927" t="s">
        <v>495</v>
      </c>
      <c r="D48" s="924">
        <v>162251</v>
      </c>
      <c r="E48" s="924"/>
      <c r="F48" s="924"/>
      <c r="G48" s="924">
        <v>43808</v>
      </c>
      <c r="H48" s="924"/>
      <c r="I48" s="924"/>
      <c r="J48" s="933">
        <f t="shared" ref="J48:J53" si="7">SUM(D48:G48)</f>
        <v>206059</v>
      </c>
      <c r="K48" s="933"/>
      <c r="L48" s="933"/>
      <c r="M48" s="924">
        <v>206059</v>
      </c>
      <c r="N48" s="924"/>
      <c r="O48" s="924"/>
      <c r="P48" s="924"/>
      <c r="Q48" s="929"/>
      <c r="R48" s="929"/>
    </row>
    <row r="49" spans="1:18" s="87" customFormat="1" ht="27.75" customHeight="1" x14ac:dyDescent="0.2">
      <c r="A49" s="943" t="s">
        <v>1158</v>
      </c>
      <c r="B49" s="946" t="s">
        <v>1271</v>
      </c>
      <c r="C49" s="924" t="s">
        <v>320</v>
      </c>
      <c r="D49" s="924">
        <v>3000</v>
      </c>
      <c r="E49" s="924"/>
      <c r="F49" s="924"/>
      <c r="G49" s="924">
        <v>810</v>
      </c>
      <c r="H49" s="924"/>
      <c r="I49" s="924"/>
      <c r="J49" s="933">
        <f t="shared" si="7"/>
        <v>3810</v>
      </c>
      <c r="K49" s="933"/>
      <c r="L49" s="933"/>
      <c r="M49" s="924">
        <f>J49</f>
        <v>3810</v>
      </c>
      <c r="N49" s="924"/>
      <c r="O49" s="924"/>
      <c r="P49" s="924"/>
      <c r="Q49" s="929"/>
      <c r="R49" s="929"/>
    </row>
    <row r="50" spans="1:18" s="87" customFormat="1" ht="27.75" customHeight="1" x14ac:dyDescent="0.2">
      <c r="A50" s="938" t="s">
        <v>557</v>
      </c>
      <c r="B50" s="946" t="s">
        <v>1149</v>
      </c>
      <c r="C50" s="924" t="s">
        <v>320</v>
      </c>
      <c r="D50" s="924">
        <f>6938+197</f>
        <v>7135</v>
      </c>
      <c r="E50" s="924"/>
      <c r="F50" s="924"/>
      <c r="G50" s="924">
        <v>53</v>
      </c>
      <c r="H50" s="924"/>
      <c r="I50" s="924"/>
      <c r="J50" s="933">
        <f t="shared" si="7"/>
        <v>7188</v>
      </c>
      <c r="K50" s="933"/>
      <c r="L50" s="933"/>
      <c r="M50" s="924">
        <f>J50</f>
        <v>7188</v>
      </c>
      <c r="N50" s="924"/>
      <c r="O50" s="924"/>
      <c r="P50" s="924"/>
      <c r="Q50" s="929"/>
      <c r="R50" s="929"/>
    </row>
    <row r="51" spans="1:18" s="87" customFormat="1" ht="27.75" customHeight="1" x14ac:dyDescent="0.2">
      <c r="A51" s="938" t="s">
        <v>558</v>
      </c>
      <c r="B51" s="946" t="s">
        <v>1216</v>
      </c>
      <c r="C51" s="924" t="s">
        <v>320</v>
      </c>
      <c r="D51" s="924">
        <v>7200</v>
      </c>
      <c r="E51" s="924"/>
      <c r="F51" s="924"/>
      <c r="G51" s="924">
        <v>1944</v>
      </c>
      <c r="H51" s="924"/>
      <c r="I51" s="924"/>
      <c r="J51" s="933">
        <f t="shared" si="7"/>
        <v>9144</v>
      </c>
      <c r="K51" s="933"/>
      <c r="L51" s="933"/>
      <c r="M51" s="924"/>
      <c r="N51" s="924"/>
      <c r="O51" s="924"/>
      <c r="P51" s="924">
        <f>J51</f>
        <v>9144</v>
      </c>
      <c r="Q51" s="929"/>
      <c r="R51" s="929"/>
    </row>
    <row r="52" spans="1:18" s="87" customFormat="1" ht="19.5" customHeight="1" x14ac:dyDescent="0.2">
      <c r="A52" s="938" t="s">
        <v>560</v>
      </c>
      <c r="B52" s="946" t="s">
        <v>1269</v>
      </c>
      <c r="C52" s="924" t="s">
        <v>320</v>
      </c>
      <c r="D52" s="924">
        <v>787</v>
      </c>
      <c r="E52" s="924"/>
      <c r="F52" s="924"/>
      <c r="G52" s="924">
        <v>213</v>
      </c>
      <c r="H52" s="924"/>
      <c r="I52" s="924"/>
      <c r="J52" s="933">
        <f t="shared" si="7"/>
        <v>1000</v>
      </c>
      <c r="K52" s="933"/>
      <c r="L52" s="933"/>
      <c r="M52" s="924">
        <f>J52</f>
        <v>1000</v>
      </c>
      <c r="N52" s="924"/>
      <c r="O52" s="924"/>
      <c r="P52" s="924"/>
      <c r="Q52" s="929"/>
      <c r="R52" s="929"/>
    </row>
    <row r="53" spans="1:18" s="87" customFormat="1" ht="27.75" customHeight="1" x14ac:dyDescent="0.2">
      <c r="A53" s="938" t="s">
        <v>561</v>
      </c>
      <c r="B53" s="946" t="s">
        <v>1270</v>
      </c>
      <c r="C53" s="924" t="s">
        <v>320</v>
      </c>
      <c r="D53" s="924">
        <v>51181</v>
      </c>
      <c r="E53" s="924"/>
      <c r="F53" s="924"/>
      <c r="G53" s="924">
        <v>13819</v>
      </c>
      <c r="H53" s="924"/>
      <c r="I53" s="924"/>
      <c r="J53" s="933">
        <f t="shared" si="7"/>
        <v>65000</v>
      </c>
      <c r="K53" s="933"/>
      <c r="L53" s="933"/>
      <c r="M53" s="924">
        <f>J53</f>
        <v>65000</v>
      </c>
      <c r="N53" s="924"/>
      <c r="O53" s="924"/>
      <c r="P53" s="924"/>
      <c r="Q53" s="929"/>
      <c r="R53" s="929"/>
    </row>
    <row r="54" spans="1:18" s="87" customFormat="1" ht="17.25" customHeight="1" x14ac:dyDescent="0.2">
      <c r="A54" s="938"/>
      <c r="B54" s="946"/>
      <c r="C54" s="924"/>
      <c r="D54" s="924"/>
      <c r="E54" s="924"/>
      <c r="F54" s="924"/>
      <c r="G54" s="924"/>
      <c r="H54" s="924"/>
      <c r="I54" s="924"/>
      <c r="J54" s="933"/>
      <c r="K54" s="933"/>
      <c r="L54" s="933"/>
      <c r="M54" s="924"/>
      <c r="N54" s="924"/>
      <c r="O54" s="924"/>
      <c r="P54" s="924"/>
      <c r="Q54" s="929"/>
      <c r="R54" s="929"/>
    </row>
    <row r="55" spans="1:18" s="87" customFormat="1" ht="18" customHeight="1" x14ac:dyDescent="0.2">
      <c r="A55" s="938"/>
      <c r="B55" s="946"/>
      <c r="C55" s="924"/>
      <c r="D55" s="924"/>
      <c r="E55" s="924"/>
      <c r="F55" s="924"/>
      <c r="G55" s="924"/>
      <c r="H55" s="924"/>
      <c r="I55" s="924"/>
      <c r="J55" s="933"/>
      <c r="K55" s="933"/>
      <c r="L55" s="933"/>
      <c r="M55" s="924"/>
      <c r="N55" s="924"/>
      <c r="O55" s="924"/>
      <c r="P55" s="924"/>
      <c r="Q55" s="929"/>
      <c r="R55" s="929"/>
    </row>
    <row r="56" spans="1:18" s="87" customFormat="1" ht="15.75" customHeight="1" x14ac:dyDescent="0.2">
      <c r="A56" s="938"/>
      <c r="B56" s="946"/>
      <c r="C56" s="924"/>
      <c r="D56" s="924"/>
      <c r="E56" s="924"/>
      <c r="F56" s="924"/>
      <c r="G56" s="924"/>
      <c r="H56" s="924"/>
      <c r="I56" s="924"/>
      <c r="J56" s="933"/>
      <c r="K56" s="933"/>
      <c r="L56" s="933"/>
      <c r="M56" s="924"/>
      <c r="N56" s="924"/>
      <c r="O56" s="924"/>
      <c r="P56" s="924"/>
      <c r="Q56" s="929"/>
      <c r="R56" s="929"/>
    </row>
    <row r="57" spans="1:18" s="87" customFormat="1" ht="10.5" customHeight="1" thickBot="1" x14ac:dyDescent="0.25">
      <c r="A57" s="989"/>
      <c r="B57" s="990"/>
      <c r="C57" s="991"/>
      <c r="D57" s="991"/>
      <c r="E57" s="991"/>
      <c r="F57" s="991"/>
      <c r="G57" s="991"/>
      <c r="H57" s="991"/>
      <c r="I57" s="991"/>
      <c r="J57" s="992"/>
      <c r="K57" s="992"/>
      <c r="L57" s="992"/>
      <c r="M57" s="991"/>
      <c r="N57" s="991"/>
      <c r="O57" s="991"/>
      <c r="P57" s="991"/>
      <c r="Q57" s="967"/>
      <c r="R57" s="967"/>
    </row>
    <row r="58" spans="1:18" ht="13.9" customHeight="1" thickBot="1" x14ac:dyDescent="0.25">
      <c r="A58" s="996"/>
      <c r="B58" s="975" t="s">
        <v>510</v>
      </c>
      <c r="C58" s="997"/>
      <c r="D58" s="977">
        <f>SUM(D30:D53)</f>
        <v>1629036</v>
      </c>
      <c r="E58" s="977"/>
      <c r="F58" s="977"/>
      <c r="G58" s="977">
        <f>SUM(G30:G53)</f>
        <v>437978</v>
      </c>
      <c r="H58" s="977"/>
      <c r="I58" s="977"/>
      <c r="J58" s="977">
        <f>SUM(J30:J53)</f>
        <v>2067014</v>
      </c>
      <c r="K58" s="977"/>
      <c r="L58" s="977"/>
      <c r="M58" s="977">
        <f>SUM(M30:M53)</f>
        <v>1970663</v>
      </c>
      <c r="N58" s="977"/>
      <c r="O58" s="977"/>
      <c r="P58" s="977">
        <f t="shared" ref="P58" si="8">SUM(P30:P51)</f>
        <v>96351</v>
      </c>
      <c r="Q58" s="998"/>
      <c r="R58" s="999"/>
    </row>
    <row r="59" spans="1:18" s="87" customFormat="1" ht="13.9" customHeight="1" x14ac:dyDescent="0.2">
      <c r="A59" s="993"/>
      <c r="B59" s="969"/>
      <c r="C59" s="994"/>
      <c r="D59" s="970"/>
      <c r="E59" s="970"/>
      <c r="F59" s="970"/>
      <c r="G59" s="970"/>
      <c r="H59" s="970"/>
      <c r="I59" s="970"/>
      <c r="J59" s="971"/>
      <c r="K59" s="971"/>
      <c r="L59" s="971"/>
      <c r="M59" s="970"/>
      <c r="N59" s="970"/>
      <c r="O59" s="970"/>
      <c r="P59" s="971"/>
      <c r="Q59" s="995"/>
      <c r="R59" s="995"/>
    </row>
    <row r="60" spans="1:18" s="87" customFormat="1" ht="13.9" customHeight="1" x14ac:dyDescent="0.2">
      <c r="A60" s="932"/>
      <c r="B60" s="926"/>
      <c r="C60" s="937"/>
      <c r="D60" s="919"/>
      <c r="E60" s="919"/>
      <c r="F60" s="919"/>
      <c r="G60" s="919"/>
      <c r="H60" s="919"/>
      <c r="I60" s="919"/>
      <c r="J60" s="920"/>
      <c r="K60" s="920"/>
      <c r="L60" s="920"/>
      <c r="M60" s="919"/>
      <c r="N60" s="919"/>
      <c r="O60" s="919"/>
      <c r="P60" s="919"/>
      <c r="Q60" s="929"/>
      <c r="R60" s="929"/>
    </row>
    <row r="61" spans="1:18" s="88" customFormat="1" ht="15.75" customHeight="1" x14ac:dyDescent="0.15">
      <c r="A61" s="931" t="s">
        <v>511</v>
      </c>
      <c r="B61" s="930" t="s">
        <v>512</v>
      </c>
      <c r="C61" s="947"/>
      <c r="D61" s="920"/>
      <c r="E61" s="920"/>
      <c r="F61" s="920"/>
      <c r="G61" s="920"/>
      <c r="H61" s="920"/>
      <c r="I61" s="920"/>
      <c r="J61" s="920"/>
      <c r="K61" s="920"/>
      <c r="L61" s="920"/>
      <c r="M61" s="948"/>
      <c r="N61" s="948"/>
      <c r="O61" s="948"/>
      <c r="P61" s="948"/>
      <c r="Q61" s="949"/>
      <c r="R61" s="949"/>
    </row>
    <row r="62" spans="1:18" s="88" customFormat="1" ht="15.75" customHeight="1" x14ac:dyDescent="0.15">
      <c r="A62" s="938" t="s">
        <v>513</v>
      </c>
      <c r="B62" s="926" t="s">
        <v>569</v>
      </c>
      <c r="C62" s="950" t="s">
        <v>317</v>
      </c>
      <c r="D62" s="951">
        <v>5000</v>
      </c>
      <c r="E62" s="951"/>
      <c r="F62" s="951"/>
      <c r="G62" s="951">
        <f>D62*0.27</f>
        <v>1350</v>
      </c>
      <c r="H62" s="951"/>
      <c r="I62" s="951"/>
      <c r="J62" s="952">
        <f>D62+G62</f>
        <v>6350</v>
      </c>
      <c r="K62" s="952"/>
      <c r="L62" s="952"/>
      <c r="M62" s="951">
        <v>6350</v>
      </c>
      <c r="N62" s="951"/>
      <c r="O62" s="951"/>
      <c r="P62" s="951"/>
      <c r="Q62" s="949"/>
      <c r="R62" s="949"/>
    </row>
    <row r="63" spans="1:18" s="88" customFormat="1" ht="15.75" customHeight="1" x14ac:dyDescent="0.2">
      <c r="A63" s="938" t="s">
        <v>691</v>
      </c>
      <c r="B63" s="953" t="s">
        <v>178</v>
      </c>
      <c r="C63" s="950" t="s">
        <v>317</v>
      </c>
      <c r="D63" s="927">
        <v>1000</v>
      </c>
      <c r="E63" s="927"/>
      <c r="F63" s="927"/>
      <c r="G63" s="927">
        <f>D63*0.27</f>
        <v>270</v>
      </c>
      <c r="H63" s="927"/>
      <c r="I63" s="927"/>
      <c r="J63" s="954">
        <f>SUM(D63:G63)</f>
        <v>1270</v>
      </c>
      <c r="K63" s="954"/>
      <c r="L63" s="954"/>
      <c r="M63" s="954"/>
      <c r="N63" s="954"/>
      <c r="O63" s="954"/>
      <c r="P63" s="927">
        <v>1270</v>
      </c>
      <c r="Q63" s="949"/>
      <c r="R63" s="949"/>
    </row>
    <row r="64" spans="1:18" s="88" customFormat="1" ht="27" customHeight="1" x14ac:dyDescent="0.15">
      <c r="A64" s="938" t="s">
        <v>101</v>
      </c>
      <c r="B64" s="940" t="s">
        <v>1225</v>
      </c>
      <c r="C64" s="950" t="s">
        <v>317</v>
      </c>
      <c r="D64" s="927">
        <v>14961</v>
      </c>
      <c r="E64" s="927"/>
      <c r="F64" s="927"/>
      <c r="G64" s="927">
        <v>4039</v>
      </c>
      <c r="H64" s="927"/>
      <c r="I64" s="927"/>
      <c r="J64" s="954">
        <f t="shared" ref="J64:J68" si="9">D64+G64</f>
        <v>19000</v>
      </c>
      <c r="K64" s="954"/>
      <c r="L64" s="954"/>
      <c r="M64" s="927">
        <f>J64</f>
        <v>19000</v>
      </c>
      <c r="N64" s="927"/>
      <c r="O64" s="927"/>
      <c r="P64" s="927"/>
      <c r="Q64" s="949"/>
      <c r="R64" s="949"/>
    </row>
    <row r="65" spans="1:18" s="88" customFormat="1" ht="27" customHeight="1" x14ac:dyDescent="0.15">
      <c r="A65" s="938" t="s">
        <v>312</v>
      </c>
      <c r="B65" s="940" t="s">
        <v>1059</v>
      </c>
      <c r="C65" s="950" t="s">
        <v>317</v>
      </c>
      <c r="D65" s="927">
        <v>35000</v>
      </c>
      <c r="E65" s="927"/>
      <c r="F65" s="927"/>
      <c r="G65" s="927">
        <v>9450</v>
      </c>
      <c r="H65" s="927"/>
      <c r="I65" s="927"/>
      <c r="J65" s="954">
        <f t="shared" si="9"/>
        <v>44450</v>
      </c>
      <c r="K65" s="954"/>
      <c r="L65" s="954"/>
      <c r="M65" s="927">
        <v>44450</v>
      </c>
      <c r="N65" s="927"/>
      <c r="O65" s="927"/>
      <c r="P65" s="927"/>
      <c r="Q65" s="949"/>
      <c r="R65" s="949"/>
    </row>
    <row r="66" spans="1:18" s="88" customFormat="1" ht="25.9" customHeight="1" x14ac:dyDescent="0.2">
      <c r="A66" s="938" t="s">
        <v>1121</v>
      </c>
      <c r="B66" s="953" t="s">
        <v>1058</v>
      </c>
      <c r="C66" s="950" t="s">
        <v>317</v>
      </c>
      <c r="D66" s="927">
        <v>17970</v>
      </c>
      <c r="E66" s="927"/>
      <c r="F66" s="927"/>
      <c r="G66" s="927">
        <v>4852</v>
      </c>
      <c r="H66" s="927"/>
      <c r="I66" s="927"/>
      <c r="J66" s="954">
        <f t="shared" si="9"/>
        <v>22822</v>
      </c>
      <c r="K66" s="954"/>
      <c r="L66" s="954"/>
      <c r="M66" s="954">
        <v>22822</v>
      </c>
      <c r="N66" s="954"/>
      <c r="O66" s="954"/>
      <c r="P66" s="927"/>
      <c r="Q66" s="949"/>
      <c r="R66" s="949"/>
    </row>
    <row r="67" spans="1:18" s="88" customFormat="1" ht="25.9" customHeight="1" x14ac:dyDescent="0.2">
      <c r="A67" s="938" t="s">
        <v>940</v>
      </c>
      <c r="B67" s="953" t="s">
        <v>1122</v>
      </c>
      <c r="C67" s="950" t="s">
        <v>317</v>
      </c>
      <c r="D67" s="927">
        <v>248</v>
      </c>
      <c r="E67" s="927"/>
      <c r="F67" s="927"/>
      <c r="G67" s="927">
        <v>67</v>
      </c>
      <c r="H67" s="927"/>
      <c r="I67" s="927"/>
      <c r="J67" s="954">
        <f t="shared" si="9"/>
        <v>315</v>
      </c>
      <c r="K67" s="954"/>
      <c r="L67" s="954"/>
      <c r="M67" s="954"/>
      <c r="N67" s="954"/>
      <c r="O67" s="954"/>
      <c r="P67" s="927">
        <f>J67</f>
        <v>315</v>
      </c>
      <c r="Q67" s="949"/>
      <c r="R67" s="949"/>
    </row>
    <row r="68" spans="1:18" s="88" customFormat="1" ht="31.5" customHeight="1" x14ac:dyDescent="0.15">
      <c r="A68" s="938" t="s">
        <v>1217</v>
      </c>
      <c r="B68" s="940" t="s">
        <v>1218</v>
      </c>
      <c r="C68" s="950" t="s">
        <v>317</v>
      </c>
      <c r="D68" s="927">
        <v>12598</v>
      </c>
      <c r="E68" s="927"/>
      <c r="F68" s="927"/>
      <c r="G68" s="927">
        <v>3402</v>
      </c>
      <c r="H68" s="927"/>
      <c r="I68" s="927"/>
      <c r="J68" s="954">
        <f t="shared" si="9"/>
        <v>16000</v>
      </c>
      <c r="K68" s="954"/>
      <c r="L68" s="954"/>
      <c r="M68" s="954"/>
      <c r="N68" s="954"/>
      <c r="O68" s="954"/>
      <c r="P68" s="927">
        <f>J68</f>
        <v>16000</v>
      </c>
      <c r="Q68" s="949"/>
      <c r="R68" s="949"/>
    </row>
    <row r="69" spans="1:18" s="88" customFormat="1" ht="9.75" customHeight="1" thickBot="1" x14ac:dyDescent="0.2">
      <c r="A69" s="989"/>
      <c r="B69" s="1000"/>
      <c r="C69" s="1001"/>
      <c r="D69" s="963"/>
      <c r="E69" s="963"/>
      <c r="F69" s="963"/>
      <c r="G69" s="963"/>
      <c r="H69" s="963"/>
      <c r="I69" s="963"/>
      <c r="J69" s="1002"/>
      <c r="K69" s="1002"/>
      <c r="L69" s="1002"/>
      <c r="M69" s="1002"/>
      <c r="N69" s="1002"/>
      <c r="O69" s="1002"/>
      <c r="P69" s="963"/>
      <c r="Q69" s="1003"/>
      <c r="R69" s="1003"/>
    </row>
    <row r="70" spans="1:18" s="88" customFormat="1" ht="12" customHeight="1" thickBot="1" x14ac:dyDescent="0.2">
      <c r="A70" s="985"/>
      <c r="B70" s="975" t="s">
        <v>514</v>
      </c>
      <c r="C70" s="997"/>
      <c r="D70" s="976">
        <f>SUM(D62:D68)</f>
        <v>86777</v>
      </c>
      <c r="E70" s="976"/>
      <c r="F70" s="976"/>
      <c r="G70" s="976">
        <f t="shared" ref="G70:P70" si="10">SUM(G62:G68)</f>
        <v>23430</v>
      </c>
      <c r="H70" s="976"/>
      <c r="I70" s="976"/>
      <c r="J70" s="976">
        <f t="shared" si="10"/>
        <v>110207</v>
      </c>
      <c r="K70" s="976"/>
      <c r="L70" s="976"/>
      <c r="M70" s="976">
        <f t="shared" si="10"/>
        <v>92622</v>
      </c>
      <c r="N70" s="976"/>
      <c r="O70" s="976"/>
      <c r="P70" s="976">
        <f t="shared" si="10"/>
        <v>17585</v>
      </c>
      <c r="Q70" s="998"/>
      <c r="R70" s="999"/>
    </row>
    <row r="71" spans="1:18" s="88" customFormat="1" ht="12" customHeight="1" x14ac:dyDescent="0.15">
      <c r="A71" s="968"/>
      <c r="B71" s="1004"/>
      <c r="C71" s="1005"/>
      <c r="D71" s="971"/>
      <c r="E71" s="971"/>
      <c r="F71" s="971"/>
      <c r="G71" s="971"/>
      <c r="H71" s="971"/>
      <c r="I71" s="971"/>
      <c r="J71" s="971"/>
      <c r="K71" s="971"/>
      <c r="L71" s="971"/>
      <c r="M71" s="971"/>
      <c r="N71" s="971"/>
      <c r="O71" s="971"/>
      <c r="P71" s="971"/>
      <c r="Q71" s="1006"/>
      <c r="R71" s="1006"/>
    </row>
    <row r="72" spans="1:18" s="88" customFormat="1" ht="12" customHeight="1" x14ac:dyDescent="0.15">
      <c r="A72" s="931"/>
      <c r="B72" s="930"/>
      <c r="C72" s="947"/>
      <c r="D72" s="920"/>
      <c r="E72" s="920"/>
      <c r="F72" s="920"/>
      <c r="G72" s="920"/>
      <c r="H72" s="920"/>
      <c r="I72" s="920"/>
      <c r="J72" s="920"/>
      <c r="K72" s="920"/>
      <c r="L72" s="920"/>
      <c r="M72" s="948"/>
      <c r="N72" s="948"/>
      <c r="O72" s="948"/>
      <c r="P72" s="948"/>
      <c r="Q72" s="949"/>
      <c r="R72" s="949"/>
    </row>
    <row r="73" spans="1:18" s="80" customFormat="1" ht="15" customHeight="1" x14ac:dyDescent="0.2">
      <c r="A73" s="931" t="s">
        <v>515</v>
      </c>
      <c r="B73" s="918" t="s">
        <v>516</v>
      </c>
      <c r="C73" s="920"/>
      <c r="D73" s="920"/>
      <c r="E73" s="920"/>
      <c r="F73" s="920"/>
      <c r="G73" s="920"/>
      <c r="H73" s="920"/>
      <c r="I73" s="920"/>
      <c r="J73" s="920"/>
      <c r="K73" s="920"/>
      <c r="L73" s="920"/>
      <c r="M73" s="925"/>
      <c r="N73" s="925"/>
      <c r="O73" s="925"/>
      <c r="P73" s="925"/>
      <c r="Q73" s="904"/>
      <c r="R73" s="904"/>
    </row>
    <row r="74" spans="1:18" s="80" customFormat="1" ht="15" customHeight="1" thickBot="1" x14ac:dyDescent="0.25">
      <c r="A74" s="1009"/>
      <c r="B74" s="981"/>
      <c r="C74" s="1010"/>
      <c r="D74" s="966"/>
      <c r="E74" s="966"/>
      <c r="F74" s="966"/>
      <c r="G74" s="966"/>
      <c r="H74" s="966"/>
      <c r="I74" s="966"/>
      <c r="J74" s="1011"/>
      <c r="K74" s="1011"/>
      <c r="L74" s="1011"/>
      <c r="M74" s="964"/>
      <c r="N74" s="964"/>
      <c r="O74" s="964"/>
      <c r="P74" s="964"/>
      <c r="Q74" s="1012"/>
      <c r="R74" s="1012"/>
    </row>
    <row r="75" spans="1:18" s="80" customFormat="1" ht="13.5" customHeight="1" thickBot="1" x14ac:dyDescent="0.25">
      <c r="A75" s="985"/>
      <c r="B75" s="986" t="s">
        <v>517</v>
      </c>
      <c r="C75" s="976"/>
      <c r="D75" s="976">
        <f>SUM(D74)</f>
        <v>0</v>
      </c>
      <c r="E75" s="976"/>
      <c r="F75" s="976"/>
      <c r="G75" s="976">
        <f>SUM(G74)</f>
        <v>0</v>
      </c>
      <c r="H75" s="976"/>
      <c r="I75" s="976"/>
      <c r="J75" s="976">
        <f>SUM(J74)</f>
        <v>0</v>
      </c>
      <c r="K75" s="976"/>
      <c r="L75" s="976"/>
      <c r="M75" s="976">
        <f>SUM(M74)</f>
        <v>0</v>
      </c>
      <c r="N75" s="976"/>
      <c r="O75" s="976"/>
      <c r="P75" s="976">
        <f>SUM(P74)</f>
        <v>0</v>
      </c>
      <c r="Q75" s="1015"/>
      <c r="R75" s="1016"/>
    </row>
    <row r="76" spans="1:18" s="80" customFormat="1" ht="13.5" customHeight="1" x14ac:dyDescent="0.2">
      <c r="A76" s="968"/>
      <c r="B76" s="1013"/>
      <c r="C76" s="971"/>
      <c r="D76" s="971"/>
      <c r="E76" s="971"/>
      <c r="F76" s="971"/>
      <c r="G76" s="971"/>
      <c r="H76" s="971"/>
      <c r="I76" s="971"/>
      <c r="J76" s="971"/>
      <c r="K76" s="971"/>
      <c r="L76" s="971"/>
      <c r="M76" s="971"/>
      <c r="N76" s="971"/>
      <c r="O76" s="971"/>
      <c r="P76" s="971"/>
      <c r="Q76" s="1014"/>
      <c r="R76" s="1014"/>
    </row>
    <row r="77" spans="1:18" s="80" customFormat="1" ht="13.5" customHeight="1" x14ac:dyDescent="0.2">
      <c r="A77" s="931"/>
      <c r="B77" s="918"/>
      <c r="C77" s="920"/>
      <c r="D77" s="920"/>
      <c r="E77" s="920"/>
      <c r="F77" s="920"/>
      <c r="G77" s="920"/>
      <c r="H77" s="920"/>
      <c r="I77" s="920"/>
      <c r="J77" s="920"/>
      <c r="K77" s="920"/>
      <c r="L77" s="920"/>
      <c r="M77" s="925"/>
      <c r="N77" s="925"/>
      <c r="O77" s="925"/>
      <c r="P77" s="925"/>
      <c r="Q77" s="904"/>
      <c r="R77" s="904"/>
    </row>
    <row r="78" spans="1:18" s="80" customFormat="1" ht="13.5" customHeight="1" x14ac:dyDescent="0.2">
      <c r="A78" s="931" t="s">
        <v>90</v>
      </c>
      <c r="B78" s="918" t="s">
        <v>179</v>
      </c>
      <c r="C78" s="920"/>
      <c r="D78" s="904"/>
      <c r="E78" s="904"/>
      <c r="F78" s="904"/>
      <c r="G78" s="904"/>
      <c r="H78" s="904"/>
      <c r="I78" s="904"/>
      <c r="J78" s="919"/>
      <c r="K78" s="919"/>
      <c r="L78" s="919"/>
      <c r="M78" s="925"/>
      <c r="N78" s="925"/>
      <c r="O78" s="925"/>
      <c r="P78" s="919"/>
      <c r="Q78" s="904"/>
      <c r="R78" s="904"/>
    </row>
    <row r="79" spans="1:18" s="80" customFormat="1" ht="20.25" customHeight="1" x14ac:dyDescent="0.2">
      <c r="A79" s="932" t="s">
        <v>513</v>
      </c>
      <c r="B79" s="923" t="s">
        <v>1060</v>
      </c>
      <c r="C79" s="920" t="s">
        <v>317</v>
      </c>
      <c r="D79" s="927">
        <v>8000</v>
      </c>
      <c r="E79" s="927"/>
      <c r="F79" s="927"/>
      <c r="G79" s="927">
        <f>D79*0.27</f>
        <v>2160</v>
      </c>
      <c r="H79" s="927"/>
      <c r="I79" s="927"/>
      <c r="J79" s="954">
        <f>SUM(D79:G79)</f>
        <v>10160</v>
      </c>
      <c r="K79" s="954"/>
      <c r="L79" s="954"/>
      <c r="M79" s="924"/>
      <c r="N79" s="924"/>
      <c r="O79" s="924"/>
      <c r="P79" s="927">
        <f>SUM(J79:M79)</f>
        <v>10160</v>
      </c>
      <c r="Q79" s="904"/>
      <c r="R79" s="904"/>
    </row>
    <row r="80" spans="1:18" s="80" customFormat="1" ht="25.5" customHeight="1" x14ac:dyDescent="0.2">
      <c r="A80" s="932" t="s">
        <v>691</v>
      </c>
      <c r="B80" s="955" t="s">
        <v>1117</v>
      </c>
      <c r="C80" s="950" t="s">
        <v>317</v>
      </c>
      <c r="D80" s="927">
        <v>5000</v>
      </c>
      <c r="E80" s="927"/>
      <c r="F80" s="927"/>
      <c r="G80" s="927">
        <v>972</v>
      </c>
      <c r="H80" s="927"/>
      <c r="I80" s="927"/>
      <c r="J80" s="954">
        <f>SUM(D80:G80)</f>
        <v>5972</v>
      </c>
      <c r="K80" s="954"/>
      <c r="L80" s="954"/>
      <c r="M80" s="924"/>
      <c r="N80" s="924"/>
      <c r="O80" s="924"/>
      <c r="P80" s="927">
        <f>J80</f>
        <v>5972</v>
      </c>
      <c r="Q80" s="904"/>
      <c r="R80" s="904"/>
    </row>
    <row r="81" spans="1:28" s="80" customFormat="1" ht="24" customHeight="1" x14ac:dyDescent="0.2">
      <c r="A81" s="932" t="s">
        <v>101</v>
      </c>
      <c r="B81" s="923" t="s">
        <v>1118</v>
      </c>
      <c r="C81" s="950" t="s">
        <v>317</v>
      </c>
      <c r="D81" s="927">
        <v>2000</v>
      </c>
      <c r="E81" s="927"/>
      <c r="F81" s="927"/>
      <c r="G81" s="927">
        <v>126</v>
      </c>
      <c r="H81" s="927"/>
      <c r="I81" s="927"/>
      <c r="J81" s="954">
        <f t="shared" ref="J81" si="11">SUM(D81:G81)</f>
        <v>2126</v>
      </c>
      <c r="K81" s="954"/>
      <c r="L81" s="954"/>
      <c r="M81" s="924">
        <f t="shared" ref="M81" si="12">J81</f>
        <v>2126</v>
      </c>
      <c r="N81" s="924"/>
      <c r="O81" s="924"/>
      <c r="P81" s="927"/>
      <c r="Q81" s="934"/>
      <c r="R81" s="904"/>
    </row>
    <row r="82" spans="1:28" s="80" customFormat="1" ht="24" customHeight="1" x14ac:dyDescent="0.2">
      <c r="A82" s="932" t="s">
        <v>312</v>
      </c>
      <c r="B82" s="923" t="s">
        <v>1127</v>
      </c>
      <c r="C82" s="950" t="s">
        <v>317</v>
      </c>
      <c r="D82" s="927">
        <v>10000</v>
      </c>
      <c r="E82" s="927"/>
      <c r="F82" s="927"/>
      <c r="G82" s="927">
        <v>2700</v>
      </c>
      <c r="H82" s="927"/>
      <c r="I82" s="927"/>
      <c r="J82" s="954">
        <f>SUM(D82:G82)</f>
        <v>12700</v>
      </c>
      <c r="K82" s="954"/>
      <c r="L82" s="954"/>
      <c r="M82" s="924"/>
      <c r="N82" s="924"/>
      <c r="O82" s="924"/>
      <c r="P82" s="927">
        <f>J82</f>
        <v>12700</v>
      </c>
      <c r="Q82" s="934"/>
      <c r="R82" s="904"/>
    </row>
    <row r="83" spans="1:28" s="80" customFormat="1" ht="13.5" customHeight="1" thickBot="1" x14ac:dyDescent="0.25">
      <c r="A83" s="980"/>
      <c r="B83" s="981"/>
      <c r="C83" s="1011"/>
      <c r="D83" s="966"/>
      <c r="E83" s="966"/>
      <c r="F83" s="966"/>
      <c r="G83" s="966"/>
      <c r="H83" s="966"/>
      <c r="I83" s="966"/>
      <c r="J83" s="966"/>
      <c r="K83" s="966"/>
      <c r="L83" s="966"/>
      <c r="M83" s="964"/>
      <c r="N83" s="964"/>
      <c r="O83" s="964"/>
      <c r="P83" s="966"/>
      <c r="Q83" s="1012"/>
      <c r="R83" s="1012"/>
    </row>
    <row r="84" spans="1:28" s="80" customFormat="1" ht="12.75" customHeight="1" thickBot="1" x14ac:dyDescent="0.25">
      <c r="A84" s="1007"/>
      <c r="B84" s="1019" t="s">
        <v>180</v>
      </c>
      <c r="C84" s="1008"/>
      <c r="D84" s="1008">
        <f>SUM(D79:D83)</f>
        <v>25000</v>
      </c>
      <c r="E84" s="1008"/>
      <c r="F84" s="1008"/>
      <c r="G84" s="1008">
        <f>SUM(G79:G83)</f>
        <v>5958</v>
      </c>
      <c r="H84" s="1008"/>
      <c r="I84" s="1008"/>
      <c r="J84" s="1008">
        <f>SUM(J79:J83)</f>
        <v>30958</v>
      </c>
      <c r="K84" s="1008"/>
      <c r="L84" s="1008"/>
      <c r="M84" s="1008">
        <f>SUM(M79:M83)</f>
        <v>2126</v>
      </c>
      <c r="N84" s="1008"/>
      <c r="O84" s="1008"/>
      <c r="P84" s="1008">
        <f>SUM(P79:P83)</f>
        <v>28832</v>
      </c>
      <c r="Q84" s="978"/>
      <c r="R84" s="1020"/>
    </row>
    <row r="85" spans="1:28" s="80" customFormat="1" ht="12.75" customHeight="1" x14ac:dyDescent="0.2">
      <c r="A85" s="1017"/>
      <c r="B85" s="1013"/>
      <c r="C85" s="971"/>
      <c r="D85" s="971"/>
      <c r="E85" s="971"/>
      <c r="F85" s="971"/>
      <c r="G85" s="971"/>
      <c r="H85" s="971"/>
      <c r="I85" s="971"/>
      <c r="J85" s="971"/>
      <c r="K85" s="971"/>
      <c r="L85" s="971"/>
      <c r="M85" s="1018"/>
      <c r="N85" s="1018"/>
      <c r="O85" s="1018"/>
      <c r="P85" s="1018"/>
      <c r="Q85" s="1014"/>
      <c r="R85" s="1014"/>
    </row>
    <row r="86" spans="1:28" s="80" customFormat="1" ht="24" customHeight="1" x14ac:dyDescent="0.2">
      <c r="A86" s="931" t="s">
        <v>91</v>
      </c>
      <c r="B86" s="918" t="s">
        <v>73</v>
      </c>
      <c r="C86" s="920"/>
      <c r="D86" s="920"/>
      <c r="E86" s="920"/>
      <c r="F86" s="920"/>
      <c r="G86" s="920"/>
      <c r="H86" s="920"/>
      <c r="I86" s="920"/>
      <c r="J86" s="920"/>
      <c r="K86" s="920"/>
      <c r="L86" s="920"/>
      <c r="M86" s="925"/>
      <c r="N86" s="925"/>
      <c r="O86" s="925"/>
      <c r="P86" s="925"/>
      <c r="Q86" s="904"/>
      <c r="R86" s="904"/>
    </row>
    <row r="87" spans="1:28" s="80" customFormat="1" ht="24" customHeight="1" x14ac:dyDescent="0.2">
      <c r="A87" s="932" t="s">
        <v>494</v>
      </c>
      <c r="B87" s="923" t="s">
        <v>1272</v>
      </c>
      <c r="C87" s="950"/>
      <c r="D87" s="919">
        <v>3238</v>
      </c>
      <c r="E87" s="919"/>
      <c r="F87" s="919"/>
      <c r="G87" s="919"/>
      <c r="H87" s="919"/>
      <c r="I87" s="919"/>
      <c r="J87" s="920">
        <f>D87+G87</f>
        <v>3238</v>
      </c>
      <c r="K87" s="920"/>
      <c r="L87" s="920"/>
      <c r="M87" s="925"/>
      <c r="N87" s="925"/>
      <c r="O87" s="925"/>
      <c r="P87" s="925">
        <f>J87</f>
        <v>3238</v>
      </c>
      <c r="Q87" s="904"/>
      <c r="R87" s="904"/>
    </row>
    <row r="88" spans="1:28" s="80" customFormat="1" ht="15.75" customHeight="1" x14ac:dyDescent="0.2">
      <c r="A88" s="932"/>
      <c r="B88" s="923"/>
      <c r="C88" s="950"/>
      <c r="D88" s="919"/>
      <c r="E88" s="919"/>
      <c r="F88" s="919"/>
      <c r="G88" s="919"/>
      <c r="H88" s="919"/>
      <c r="I88" s="919"/>
      <c r="J88" s="920"/>
      <c r="K88" s="920"/>
      <c r="L88" s="920"/>
      <c r="M88" s="925"/>
      <c r="N88" s="925"/>
      <c r="O88" s="925"/>
      <c r="P88" s="925"/>
      <c r="Q88" s="904"/>
      <c r="R88" s="904"/>
      <c r="T88" s="434"/>
    </row>
    <row r="89" spans="1:28" s="80" customFormat="1" ht="16.5" customHeight="1" x14ac:dyDescent="0.2">
      <c r="A89" s="932"/>
      <c r="B89" s="923"/>
      <c r="C89" s="950"/>
      <c r="D89" s="919"/>
      <c r="E89" s="919"/>
      <c r="F89" s="919"/>
      <c r="G89" s="919"/>
      <c r="H89" s="919"/>
      <c r="I89" s="919"/>
      <c r="J89" s="920"/>
      <c r="K89" s="920"/>
      <c r="L89" s="920"/>
      <c r="M89" s="925"/>
      <c r="N89" s="925"/>
      <c r="O89" s="925"/>
      <c r="P89" s="925"/>
      <c r="Q89" s="904"/>
      <c r="R89" s="904"/>
      <c r="T89" s="434"/>
    </row>
    <row r="90" spans="1:28" s="80" customFormat="1" ht="13.5" customHeight="1" thickBot="1" x14ac:dyDescent="0.25">
      <c r="A90" s="980"/>
      <c r="B90" s="962"/>
      <c r="C90" s="966"/>
      <c r="D90" s="1011"/>
      <c r="E90" s="1011"/>
      <c r="F90" s="1011"/>
      <c r="G90" s="1011"/>
      <c r="H90" s="1011"/>
      <c r="I90" s="1011"/>
      <c r="J90" s="966"/>
      <c r="K90" s="966"/>
      <c r="L90" s="966"/>
      <c r="M90" s="964"/>
      <c r="N90" s="964"/>
      <c r="O90" s="964"/>
      <c r="P90" s="964"/>
      <c r="Q90" s="1012"/>
      <c r="R90" s="1012"/>
      <c r="T90" s="434"/>
    </row>
    <row r="91" spans="1:28" s="80" customFormat="1" ht="22.5" customHeight="1" thickBot="1" x14ac:dyDescent="0.25">
      <c r="A91" s="985"/>
      <c r="B91" s="975" t="s">
        <v>518</v>
      </c>
      <c r="C91" s="976"/>
      <c r="D91" s="976">
        <f>D87</f>
        <v>3238</v>
      </c>
      <c r="E91" s="976"/>
      <c r="F91" s="976"/>
      <c r="G91" s="976">
        <f t="shared" ref="G91:P91" si="13">G87</f>
        <v>0</v>
      </c>
      <c r="H91" s="976"/>
      <c r="I91" s="976"/>
      <c r="J91" s="976">
        <f t="shared" si="13"/>
        <v>3238</v>
      </c>
      <c r="K91" s="976"/>
      <c r="L91" s="976"/>
      <c r="M91" s="976">
        <f t="shared" si="13"/>
        <v>0</v>
      </c>
      <c r="N91" s="976"/>
      <c r="O91" s="976"/>
      <c r="P91" s="976">
        <f t="shared" si="13"/>
        <v>3238</v>
      </c>
      <c r="Q91" s="1015"/>
      <c r="R91" s="1016"/>
      <c r="T91" s="434"/>
    </row>
    <row r="92" spans="1:28" s="80" customFormat="1" ht="12.75" customHeight="1" x14ac:dyDescent="0.2">
      <c r="A92" s="1017"/>
      <c r="B92" s="1021"/>
      <c r="C92" s="970"/>
      <c r="D92" s="971"/>
      <c r="E92" s="971"/>
      <c r="F92" s="971"/>
      <c r="G92" s="971"/>
      <c r="H92" s="971"/>
      <c r="I92" s="971"/>
      <c r="J92" s="971"/>
      <c r="K92" s="971"/>
      <c r="L92" s="971"/>
      <c r="M92" s="1018"/>
      <c r="N92" s="1018"/>
      <c r="O92" s="1018"/>
      <c r="P92" s="1018"/>
      <c r="Q92" s="1014"/>
      <c r="R92" s="1014"/>
    </row>
    <row r="93" spans="1:28" s="80" customFormat="1" ht="12" customHeight="1" x14ac:dyDescent="0.2">
      <c r="A93" s="932"/>
      <c r="B93" s="923"/>
      <c r="C93" s="919"/>
      <c r="D93" s="919"/>
      <c r="E93" s="919"/>
      <c r="F93" s="919"/>
      <c r="G93" s="919"/>
      <c r="H93" s="919"/>
      <c r="I93" s="919"/>
      <c r="J93" s="920"/>
      <c r="K93" s="920"/>
      <c r="L93" s="920"/>
      <c r="M93" s="925"/>
      <c r="N93" s="925"/>
      <c r="O93" s="925"/>
      <c r="P93" s="925"/>
      <c r="Q93" s="904"/>
      <c r="R93" s="904"/>
    </row>
    <row r="94" spans="1:28" s="80" customFormat="1" ht="12.75" customHeight="1" x14ac:dyDescent="0.2">
      <c r="A94" s="931" t="s">
        <v>92</v>
      </c>
      <c r="B94" s="918" t="s">
        <v>310</v>
      </c>
      <c r="C94" s="919"/>
      <c r="D94" s="919"/>
      <c r="E94" s="919"/>
      <c r="F94" s="919"/>
      <c r="G94" s="919"/>
      <c r="H94" s="919"/>
      <c r="I94" s="919"/>
      <c r="J94" s="920"/>
      <c r="K94" s="920"/>
      <c r="L94" s="920"/>
      <c r="M94" s="925"/>
      <c r="N94" s="925"/>
      <c r="O94" s="925"/>
      <c r="P94" s="925"/>
      <c r="Q94" s="904"/>
      <c r="R94" s="904"/>
    </row>
    <row r="95" spans="1:28" s="89" customFormat="1" ht="13.5" customHeight="1" x14ac:dyDescent="0.2">
      <c r="A95" s="932" t="s">
        <v>494</v>
      </c>
      <c r="B95" s="923" t="s">
        <v>74</v>
      </c>
      <c r="C95" s="919"/>
      <c r="D95" s="919">
        <v>45182</v>
      </c>
      <c r="E95" s="919"/>
      <c r="F95" s="919"/>
      <c r="G95" s="919"/>
      <c r="H95" s="919"/>
      <c r="I95" s="919"/>
      <c r="J95" s="920">
        <f>SUM(D95:G95)</f>
        <v>45182</v>
      </c>
      <c r="K95" s="920"/>
      <c r="L95" s="920"/>
      <c r="M95" s="919">
        <f>J95</f>
        <v>45182</v>
      </c>
      <c r="N95" s="919"/>
      <c r="O95" s="919"/>
      <c r="P95" s="919"/>
      <c r="Q95" s="956"/>
      <c r="R95" s="956"/>
    </row>
    <row r="96" spans="1:28" s="89" customFormat="1" ht="13.5" customHeight="1" x14ac:dyDescent="0.2">
      <c r="A96" s="932" t="s">
        <v>502</v>
      </c>
      <c r="B96" s="923" t="s">
        <v>1015</v>
      </c>
      <c r="C96" s="919"/>
      <c r="D96" s="919">
        <v>3670</v>
      </c>
      <c r="E96" s="919"/>
      <c r="F96" s="919"/>
      <c r="G96" s="919"/>
      <c r="H96" s="919"/>
      <c r="I96" s="919"/>
      <c r="J96" s="920">
        <f>SUM(D96:G96)</f>
        <v>3670</v>
      </c>
      <c r="K96" s="920"/>
      <c r="L96" s="920"/>
      <c r="M96" s="919">
        <f>J96</f>
        <v>3670</v>
      </c>
      <c r="N96" s="919"/>
      <c r="O96" s="919"/>
      <c r="P96" s="919"/>
      <c r="Q96" s="956"/>
      <c r="R96" s="956"/>
      <c r="AB96" s="697"/>
    </row>
    <row r="97" spans="1:21" s="89" customFormat="1" ht="24.75" customHeight="1" x14ac:dyDescent="0.2">
      <c r="A97" s="932" t="s">
        <v>503</v>
      </c>
      <c r="B97" s="874" t="s">
        <v>1219</v>
      </c>
      <c r="C97" s="924"/>
      <c r="D97" s="924">
        <v>16000</v>
      </c>
      <c r="E97" s="924"/>
      <c r="F97" s="924"/>
      <c r="G97" s="924"/>
      <c r="H97" s="924"/>
      <c r="I97" s="924"/>
      <c r="J97" s="933">
        <f>D97+G97</f>
        <v>16000</v>
      </c>
      <c r="K97" s="933"/>
      <c r="L97" s="933"/>
      <c r="M97" s="924"/>
      <c r="N97" s="924"/>
      <c r="O97" s="924"/>
      <c r="P97" s="924">
        <f>J97</f>
        <v>16000</v>
      </c>
      <c r="Q97" s="956"/>
      <c r="R97" s="956"/>
    </row>
    <row r="98" spans="1:21" s="89" customFormat="1" ht="12.75" customHeight="1" x14ac:dyDescent="0.2">
      <c r="A98" s="932" t="s">
        <v>504</v>
      </c>
      <c r="B98" s="874" t="s">
        <v>295</v>
      </c>
      <c r="C98" s="924"/>
      <c r="D98" s="924">
        <v>15000</v>
      </c>
      <c r="E98" s="924"/>
      <c r="F98" s="924"/>
      <c r="G98" s="924"/>
      <c r="H98" s="924"/>
      <c r="I98" s="924"/>
      <c r="J98" s="933">
        <f>D98+G98</f>
        <v>15000</v>
      </c>
      <c r="K98" s="933"/>
      <c r="L98" s="933"/>
      <c r="M98" s="924"/>
      <c r="N98" s="924"/>
      <c r="O98" s="924"/>
      <c r="P98" s="924">
        <f>J98</f>
        <v>15000</v>
      </c>
      <c r="Q98" s="956"/>
      <c r="R98" s="956"/>
    </row>
    <row r="99" spans="1:21" s="89" customFormat="1" ht="12.75" customHeight="1" x14ac:dyDescent="0.2">
      <c r="A99" s="932" t="s">
        <v>505</v>
      </c>
      <c r="B99" s="874" t="s">
        <v>1125</v>
      </c>
      <c r="C99" s="924"/>
      <c r="D99" s="924">
        <v>1520</v>
      </c>
      <c r="E99" s="924"/>
      <c r="F99" s="924"/>
      <c r="G99" s="924"/>
      <c r="H99" s="924"/>
      <c r="I99" s="924"/>
      <c r="J99" s="933">
        <f>D99+G99</f>
        <v>1520</v>
      </c>
      <c r="K99" s="933"/>
      <c r="L99" s="933"/>
      <c r="M99" s="924"/>
      <c r="N99" s="924"/>
      <c r="O99" s="924"/>
      <c r="P99" s="924">
        <f>J99</f>
        <v>1520</v>
      </c>
      <c r="Q99" s="956"/>
      <c r="R99" s="956"/>
    </row>
    <row r="100" spans="1:21" s="89" customFormat="1" ht="12.75" customHeight="1" x14ac:dyDescent="0.2">
      <c r="A100" s="932" t="s">
        <v>506</v>
      </c>
      <c r="B100" s="874" t="s">
        <v>1220</v>
      </c>
      <c r="C100" s="924"/>
      <c r="D100" s="924">
        <v>0</v>
      </c>
      <c r="E100" s="924"/>
      <c r="F100" s="924"/>
      <c r="G100" s="924"/>
      <c r="H100" s="924"/>
      <c r="I100" s="924"/>
      <c r="J100" s="933">
        <f>D100+G100</f>
        <v>0</v>
      </c>
      <c r="K100" s="933"/>
      <c r="L100" s="933"/>
      <c r="M100" s="924"/>
      <c r="N100" s="924"/>
      <c r="O100" s="924"/>
      <c r="P100" s="924">
        <f>J100</f>
        <v>0</v>
      </c>
      <c r="Q100" s="956"/>
      <c r="R100" s="956"/>
    </row>
    <row r="101" spans="1:21" s="89" customFormat="1" ht="12" customHeight="1" thickBot="1" x14ac:dyDescent="0.25">
      <c r="A101" s="980"/>
      <c r="B101" s="1022"/>
      <c r="C101" s="991"/>
      <c r="D101" s="991"/>
      <c r="E101" s="991"/>
      <c r="F101" s="991"/>
      <c r="G101" s="991"/>
      <c r="H101" s="991"/>
      <c r="I101" s="991"/>
      <c r="J101" s="992"/>
      <c r="K101" s="992"/>
      <c r="L101" s="992"/>
      <c r="M101" s="991"/>
      <c r="N101" s="991"/>
      <c r="O101" s="991"/>
      <c r="P101" s="991"/>
      <c r="Q101" s="1023"/>
      <c r="R101" s="1023"/>
    </row>
    <row r="102" spans="1:21" s="80" customFormat="1" ht="13.5" customHeight="1" thickBot="1" x14ac:dyDescent="0.25">
      <c r="A102" s="985"/>
      <c r="B102" s="986" t="s">
        <v>519</v>
      </c>
      <c r="C102" s="976"/>
      <c r="D102" s="976">
        <f>SUM(D95:D101)</f>
        <v>81372</v>
      </c>
      <c r="E102" s="976"/>
      <c r="F102" s="976"/>
      <c r="G102" s="976">
        <f>SUM(G95:G101)</f>
        <v>0</v>
      </c>
      <c r="H102" s="976"/>
      <c r="I102" s="976"/>
      <c r="J102" s="976">
        <f>SUM(J95:J101)</f>
        <v>81372</v>
      </c>
      <c r="K102" s="976"/>
      <c r="L102" s="976"/>
      <c r="M102" s="976">
        <f>SUM(M95:M101)</f>
        <v>48852</v>
      </c>
      <c r="N102" s="976"/>
      <c r="O102" s="976"/>
      <c r="P102" s="976">
        <f>SUM(P95:P101)</f>
        <v>32520</v>
      </c>
      <c r="Q102" s="1015"/>
      <c r="R102" s="1016"/>
    </row>
    <row r="103" spans="1:21" s="80" customFormat="1" ht="12.75" customHeight="1" x14ac:dyDescent="0.2">
      <c r="A103" s="1017"/>
      <c r="B103" s="1013"/>
      <c r="C103" s="970"/>
      <c r="D103" s="970"/>
      <c r="E103" s="970"/>
      <c r="F103" s="970"/>
      <c r="G103" s="970"/>
      <c r="H103" s="970"/>
      <c r="I103" s="970"/>
      <c r="J103" s="971"/>
      <c r="K103" s="971"/>
      <c r="L103" s="971"/>
      <c r="M103" s="1018"/>
      <c r="N103" s="1018"/>
      <c r="O103" s="1018"/>
      <c r="P103" s="1018"/>
      <c r="Q103" s="1014"/>
      <c r="R103" s="1014"/>
    </row>
    <row r="104" spans="1:21" ht="12.75" customHeight="1" x14ac:dyDescent="0.2">
      <c r="A104" s="931" t="s">
        <v>523</v>
      </c>
      <c r="B104" s="918" t="s">
        <v>1130</v>
      </c>
      <c r="C104" s="919"/>
      <c r="D104" s="919"/>
      <c r="E104" s="919"/>
      <c r="F104" s="919"/>
      <c r="G104" s="919"/>
      <c r="H104" s="919"/>
      <c r="I104" s="919"/>
      <c r="J104" s="920"/>
      <c r="K104" s="920"/>
      <c r="L104" s="920"/>
      <c r="M104" s="921"/>
      <c r="N104" s="921"/>
      <c r="O104" s="921"/>
      <c r="P104" s="921"/>
      <c r="Q104" s="906"/>
      <c r="R104" s="906"/>
    </row>
    <row r="105" spans="1:21" s="89" customFormat="1" ht="21.75" customHeight="1" x14ac:dyDescent="0.2">
      <c r="A105" s="932" t="s">
        <v>513</v>
      </c>
      <c r="B105" s="923" t="s">
        <v>520</v>
      </c>
      <c r="C105" s="919"/>
      <c r="D105" s="919">
        <v>800</v>
      </c>
      <c r="E105" s="919"/>
      <c r="F105" s="919"/>
      <c r="G105" s="919"/>
      <c r="H105" s="919"/>
      <c r="I105" s="919"/>
      <c r="J105" s="920">
        <f>SUM(D105:G105)</f>
        <v>800</v>
      </c>
      <c r="K105" s="920"/>
      <c r="L105" s="920"/>
      <c r="M105" s="957"/>
      <c r="N105" s="957"/>
      <c r="O105" s="957"/>
      <c r="P105" s="919">
        <f>J105</f>
        <v>800</v>
      </c>
      <c r="Q105" s="956"/>
      <c r="R105" s="956"/>
    </row>
    <row r="106" spans="1:21" s="89" customFormat="1" ht="21.75" customHeight="1" x14ac:dyDescent="0.2">
      <c r="A106" s="932" t="s">
        <v>691</v>
      </c>
      <c r="B106" s="923" t="s">
        <v>521</v>
      </c>
      <c r="C106" s="919"/>
      <c r="D106" s="919">
        <v>2200</v>
      </c>
      <c r="E106" s="919"/>
      <c r="F106" s="919"/>
      <c r="G106" s="919"/>
      <c r="H106" s="919"/>
      <c r="I106" s="919"/>
      <c r="J106" s="920">
        <f>SUM(D106:G106)</f>
        <v>2200</v>
      </c>
      <c r="K106" s="920"/>
      <c r="L106" s="920"/>
      <c r="M106" s="957"/>
      <c r="N106" s="957"/>
      <c r="O106" s="957"/>
      <c r="P106" s="919">
        <f>J106</f>
        <v>2200</v>
      </c>
      <c r="Q106" s="956"/>
      <c r="R106" s="956"/>
      <c r="U106" s="697"/>
    </row>
    <row r="107" spans="1:21" s="89" customFormat="1" ht="12" customHeight="1" thickBot="1" x14ac:dyDescent="0.25">
      <c r="A107" s="980"/>
      <c r="B107" s="981"/>
      <c r="C107" s="966"/>
      <c r="D107" s="966"/>
      <c r="E107" s="966"/>
      <c r="F107" s="966"/>
      <c r="G107" s="966"/>
      <c r="H107" s="966"/>
      <c r="I107" s="966"/>
      <c r="J107" s="1011"/>
      <c r="K107" s="1011"/>
      <c r="L107" s="1011"/>
      <c r="M107" s="1024"/>
      <c r="N107" s="1024"/>
      <c r="O107" s="1024"/>
      <c r="P107" s="966"/>
      <c r="Q107" s="1023"/>
      <c r="R107" s="1023"/>
    </row>
    <row r="108" spans="1:21" s="80" customFormat="1" ht="21.75" customHeight="1" thickBot="1" x14ac:dyDescent="0.25">
      <c r="A108" s="985"/>
      <c r="B108" s="986" t="s">
        <v>522</v>
      </c>
      <c r="C108" s="976"/>
      <c r="D108" s="976">
        <f>SUM(D104:D106)</f>
        <v>3000</v>
      </c>
      <c r="E108" s="976"/>
      <c r="F108" s="976"/>
      <c r="G108" s="976">
        <f>SUM(G104:G106)</f>
        <v>0</v>
      </c>
      <c r="H108" s="976"/>
      <c r="I108" s="976"/>
      <c r="J108" s="976">
        <f>SUM(J104:J106)</f>
        <v>3000</v>
      </c>
      <c r="K108" s="976"/>
      <c r="L108" s="976"/>
      <c r="M108" s="976">
        <f>SUM(M104:M106)</f>
        <v>0</v>
      </c>
      <c r="N108" s="976"/>
      <c r="O108" s="976"/>
      <c r="P108" s="976">
        <f>SUM(P104:P106)</f>
        <v>3000</v>
      </c>
      <c r="Q108" s="1015"/>
      <c r="R108" s="1016"/>
    </row>
    <row r="109" spans="1:21" s="80" customFormat="1" ht="13.5" customHeight="1" x14ac:dyDescent="0.2">
      <c r="A109" s="1017"/>
      <c r="B109" s="1013"/>
      <c r="C109" s="971"/>
      <c r="D109" s="971"/>
      <c r="E109" s="971"/>
      <c r="F109" s="971"/>
      <c r="G109" s="971"/>
      <c r="H109" s="971"/>
      <c r="I109" s="971"/>
      <c r="J109" s="971"/>
      <c r="K109" s="971"/>
      <c r="L109" s="971"/>
      <c r="M109" s="971"/>
      <c r="N109" s="971"/>
      <c r="O109" s="971"/>
      <c r="P109" s="971"/>
      <c r="Q109" s="1014"/>
      <c r="R109" s="1014"/>
    </row>
    <row r="110" spans="1:21" s="80" customFormat="1" ht="13.5" customHeight="1" thickBot="1" x14ac:dyDescent="0.25">
      <c r="A110" s="980"/>
      <c r="B110" s="1025"/>
      <c r="C110" s="1011"/>
      <c r="D110" s="1011"/>
      <c r="E110" s="1011"/>
      <c r="F110" s="1011"/>
      <c r="G110" s="1011"/>
      <c r="H110" s="1011"/>
      <c r="I110" s="1011"/>
      <c r="J110" s="1011"/>
      <c r="K110" s="1011"/>
      <c r="L110" s="1011"/>
      <c r="M110" s="964"/>
      <c r="N110" s="964"/>
      <c r="O110" s="964"/>
      <c r="P110" s="964"/>
      <c r="Q110" s="1012"/>
      <c r="R110" s="1012"/>
    </row>
    <row r="111" spans="1:21" s="80" customFormat="1" ht="13.5" customHeight="1" thickBot="1" x14ac:dyDescent="0.25">
      <c r="A111" s="985"/>
      <c r="B111" s="986" t="s">
        <v>181</v>
      </c>
      <c r="C111" s="976"/>
      <c r="D111" s="976">
        <f>D20+D27+D58+D70+D75+D84+D91+D102+D108</f>
        <v>1846420</v>
      </c>
      <c r="E111" s="976"/>
      <c r="F111" s="976"/>
      <c r="G111" s="976">
        <f>G20+G27+G58+G70+G75+G84+G91+G102+G108</f>
        <v>472225</v>
      </c>
      <c r="H111" s="976"/>
      <c r="I111" s="976"/>
      <c r="J111" s="976">
        <f>J20+J27+J58+J70+J75+J84+J91+J102+J108</f>
        <v>2318645</v>
      </c>
      <c r="K111" s="976"/>
      <c r="L111" s="976"/>
      <c r="M111" s="976">
        <f>M20+M27+M58+M70+M75+M84+M91+M102+M108</f>
        <v>2137119</v>
      </c>
      <c r="N111" s="976"/>
      <c r="O111" s="976"/>
      <c r="P111" s="976">
        <f>P20+P27+P58+P70+P75+P84+P91+P102+P108</f>
        <v>181526</v>
      </c>
      <c r="Q111" s="1015"/>
      <c r="R111" s="1016"/>
    </row>
    <row r="112" spans="1:21" s="80" customFormat="1" ht="13.5" customHeight="1" x14ac:dyDescent="0.2">
      <c r="A112" s="1017"/>
      <c r="B112" s="1013"/>
      <c r="C112" s="971"/>
      <c r="D112" s="971"/>
      <c r="E112" s="971"/>
      <c r="F112" s="971"/>
      <c r="G112" s="971"/>
      <c r="H112" s="971"/>
      <c r="I112" s="971"/>
      <c r="J112" s="971"/>
      <c r="K112" s="971"/>
      <c r="L112" s="971"/>
      <c r="M112" s="1018"/>
      <c r="N112" s="1018"/>
      <c r="O112" s="1018"/>
      <c r="P112" s="1018"/>
      <c r="Q112" s="1014"/>
      <c r="R112" s="1014"/>
    </row>
    <row r="113" spans="1:27" s="90" customFormat="1" ht="13.5" customHeight="1" x14ac:dyDescent="0.15">
      <c r="A113" s="932"/>
      <c r="B113" s="918"/>
      <c r="C113" s="920"/>
      <c r="D113" s="920"/>
      <c r="E113" s="920"/>
      <c r="F113" s="920"/>
      <c r="G113" s="920"/>
      <c r="H113" s="920"/>
      <c r="I113" s="920"/>
      <c r="J113" s="920"/>
      <c r="K113" s="920"/>
      <c r="L113" s="920"/>
      <c r="M113" s="928"/>
      <c r="N113" s="928"/>
      <c r="O113" s="928"/>
      <c r="P113" s="928"/>
      <c r="Q113" s="958"/>
      <c r="R113" s="958"/>
    </row>
    <row r="114" spans="1:27" s="90" customFormat="1" ht="15.75" customHeight="1" x14ac:dyDescent="0.15">
      <c r="A114" s="931" t="s">
        <v>526</v>
      </c>
      <c r="B114" s="918" t="s">
        <v>524</v>
      </c>
      <c r="C114" s="920"/>
      <c r="D114" s="920"/>
      <c r="E114" s="920"/>
      <c r="F114" s="920"/>
      <c r="G114" s="920"/>
      <c r="H114" s="920"/>
      <c r="I114" s="920"/>
      <c r="J114" s="920"/>
      <c r="K114" s="920"/>
      <c r="L114" s="920"/>
      <c r="M114" s="928"/>
      <c r="N114" s="928"/>
      <c r="O114" s="928"/>
      <c r="P114" s="928"/>
      <c r="Q114" s="958"/>
      <c r="R114" s="958"/>
    </row>
    <row r="115" spans="1:27" s="609" customFormat="1" ht="21.75" customHeight="1" x14ac:dyDescent="0.2">
      <c r="A115" s="932" t="s">
        <v>494</v>
      </c>
      <c r="B115" s="923" t="s">
        <v>1194</v>
      </c>
      <c r="C115" s="927" t="s">
        <v>317</v>
      </c>
      <c r="D115" s="924">
        <f>3980+2362</f>
        <v>6342</v>
      </c>
      <c r="E115" s="924"/>
      <c r="F115" s="924"/>
      <c r="G115" s="924">
        <f>1075+638</f>
        <v>1713</v>
      </c>
      <c r="H115" s="924"/>
      <c r="I115" s="924"/>
      <c r="J115" s="933">
        <f>SUM(D115:G115)</f>
        <v>8055</v>
      </c>
      <c r="K115" s="933"/>
      <c r="L115" s="933"/>
      <c r="M115" s="924">
        <f>1905+3000</f>
        <v>4905</v>
      </c>
      <c r="N115" s="924"/>
      <c r="O115" s="924"/>
      <c r="P115" s="924">
        <v>3150</v>
      </c>
      <c r="Q115" s="959"/>
      <c r="R115" s="959"/>
    </row>
    <row r="116" spans="1:27" s="90" customFormat="1" ht="21.75" customHeight="1" x14ac:dyDescent="0.2">
      <c r="A116" s="932" t="s">
        <v>502</v>
      </c>
      <c r="B116" s="923" t="s">
        <v>1016</v>
      </c>
      <c r="C116" s="927" t="s">
        <v>317</v>
      </c>
      <c r="D116" s="927">
        <v>3000</v>
      </c>
      <c r="E116" s="927"/>
      <c r="F116" s="927"/>
      <c r="G116" s="927">
        <v>185</v>
      </c>
      <c r="H116" s="927"/>
      <c r="I116" s="927"/>
      <c r="J116" s="954">
        <f>SUM(D116:G116)</f>
        <v>3185</v>
      </c>
      <c r="K116" s="954"/>
      <c r="L116" s="954"/>
      <c r="M116" s="933"/>
      <c r="N116" s="933"/>
      <c r="O116" s="933"/>
      <c r="P116" s="925">
        <f>J116</f>
        <v>3185</v>
      </c>
      <c r="Q116" s="958"/>
      <c r="R116" s="958"/>
      <c r="AA116" s="440"/>
    </row>
    <row r="117" spans="1:27" s="90" customFormat="1" ht="22.15" customHeight="1" x14ac:dyDescent="0.15">
      <c r="A117" s="932" t="s">
        <v>503</v>
      </c>
      <c r="B117" s="923" t="s">
        <v>1110</v>
      </c>
      <c r="C117" s="927" t="s">
        <v>317</v>
      </c>
      <c r="D117" s="927">
        <v>1000</v>
      </c>
      <c r="E117" s="927"/>
      <c r="F117" s="927"/>
      <c r="G117" s="927">
        <f>D117*0.27</f>
        <v>270</v>
      </c>
      <c r="H117" s="927"/>
      <c r="I117" s="927"/>
      <c r="J117" s="954">
        <f>SUM(D117:G117)</f>
        <v>1270</v>
      </c>
      <c r="K117" s="954"/>
      <c r="L117" s="954"/>
      <c r="M117" s="924">
        <v>1270</v>
      </c>
      <c r="N117" s="924"/>
      <c r="O117" s="924"/>
      <c r="P117" s="924"/>
      <c r="Q117" s="958"/>
      <c r="R117" s="958"/>
    </row>
    <row r="118" spans="1:27" s="90" customFormat="1" ht="12.75" customHeight="1" thickBot="1" x14ac:dyDescent="0.2">
      <c r="A118" s="980"/>
      <c r="B118" s="981"/>
      <c r="C118" s="963"/>
      <c r="D118" s="963"/>
      <c r="E118" s="963"/>
      <c r="F118" s="963"/>
      <c r="G118" s="963"/>
      <c r="H118" s="963"/>
      <c r="I118" s="963"/>
      <c r="J118" s="1002"/>
      <c r="K118" s="1002"/>
      <c r="L118" s="1002"/>
      <c r="M118" s="991"/>
      <c r="N118" s="991"/>
      <c r="O118" s="991"/>
      <c r="P118" s="991"/>
      <c r="Q118" s="1026"/>
      <c r="R118" s="1026"/>
    </row>
    <row r="119" spans="1:27" s="90" customFormat="1" ht="21.75" customHeight="1" thickBot="1" x14ac:dyDescent="0.2">
      <c r="A119" s="985"/>
      <c r="B119" s="986" t="s">
        <v>525</v>
      </c>
      <c r="C119" s="976"/>
      <c r="D119" s="1029">
        <f>SUM(D115:D117)</f>
        <v>10342</v>
      </c>
      <c r="E119" s="1029"/>
      <c r="F119" s="1029"/>
      <c r="G119" s="1029">
        <f t="shared" ref="G119:J119" si="14">SUM(G115:G117)</f>
        <v>2168</v>
      </c>
      <c r="H119" s="1029"/>
      <c r="I119" s="1029"/>
      <c r="J119" s="1029">
        <f t="shared" si="14"/>
        <v>12510</v>
      </c>
      <c r="K119" s="1029"/>
      <c r="L119" s="1029"/>
      <c r="M119" s="1029">
        <f t="shared" ref="M119" si="15">SUM(M115:M117)</f>
        <v>6175</v>
      </c>
      <c r="N119" s="1029"/>
      <c r="O119" s="1029"/>
      <c r="P119" s="1029">
        <f t="shared" ref="P119" si="16">SUM(P115:P117)</f>
        <v>6335</v>
      </c>
      <c r="Q119" s="1015"/>
      <c r="R119" s="1016"/>
    </row>
    <row r="120" spans="1:27" s="90" customFormat="1" ht="13.5" customHeight="1" x14ac:dyDescent="0.15">
      <c r="A120" s="1017"/>
      <c r="B120" s="1013"/>
      <c r="C120" s="971"/>
      <c r="D120" s="971"/>
      <c r="E120" s="971"/>
      <c r="F120" s="971"/>
      <c r="G120" s="971"/>
      <c r="H120" s="971"/>
      <c r="I120" s="971"/>
      <c r="J120" s="971"/>
      <c r="K120" s="971"/>
      <c r="L120" s="971"/>
      <c r="M120" s="1027"/>
      <c r="N120" s="1027"/>
      <c r="O120" s="1027"/>
      <c r="P120" s="1027"/>
      <c r="Q120" s="1028"/>
      <c r="R120" s="1028"/>
    </row>
    <row r="121" spans="1:27" s="90" customFormat="1" ht="13.5" customHeight="1" x14ac:dyDescent="0.15">
      <c r="A121" s="931" t="s">
        <v>182</v>
      </c>
      <c r="B121" s="918" t="s">
        <v>76</v>
      </c>
      <c r="C121" s="920"/>
      <c r="D121" s="920"/>
      <c r="E121" s="920"/>
      <c r="F121" s="920"/>
      <c r="G121" s="920"/>
      <c r="H121" s="920"/>
      <c r="I121" s="920"/>
      <c r="J121" s="920"/>
      <c r="K121" s="920"/>
      <c r="L121" s="920"/>
      <c r="M121" s="928"/>
      <c r="N121" s="928"/>
      <c r="O121" s="928"/>
      <c r="P121" s="928"/>
      <c r="Q121" s="958"/>
      <c r="R121" s="958"/>
    </row>
    <row r="122" spans="1:27" s="80" customFormat="1" ht="21.75" customHeight="1" x14ac:dyDescent="0.2">
      <c r="A122" s="932" t="s">
        <v>494</v>
      </c>
      <c r="B122" s="923" t="s">
        <v>319</v>
      </c>
      <c r="C122" s="927" t="s">
        <v>320</v>
      </c>
      <c r="D122" s="927">
        <v>4725</v>
      </c>
      <c r="E122" s="927"/>
      <c r="F122" s="927"/>
      <c r="G122" s="927">
        <v>1275</v>
      </c>
      <c r="H122" s="927"/>
      <c r="I122" s="927"/>
      <c r="J122" s="954">
        <f>SUM(D122:G122)</f>
        <v>6000</v>
      </c>
      <c r="K122" s="954"/>
      <c r="L122" s="954"/>
      <c r="M122" s="924">
        <v>6000</v>
      </c>
      <c r="N122" s="924"/>
      <c r="O122" s="924"/>
      <c r="P122" s="924"/>
      <c r="Q122" s="904"/>
      <c r="R122" s="904"/>
    </row>
    <row r="123" spans="1:27" s="80" customFormat="1" ht="21.75" customHeight="1" x14ac:dyDescent="0.2">
      <c r="A123" s="932"/>
      <c r="B123" s="923"/>
      <c r="C123" s="927"/>
      <c r="D123" s="927"/>
      <c r="E123" s="927"/>
      <c r="F123" s="927"/>
      <c r="G123" s="927"/>
      <c r="H123" s="927"/>
      <c r="I123" s="927"/>
      <c r="J123" s="954"/>
      <c r="K123" s="954"/>
      <c r="L123" s="954"/>
      <c r="M123" s="924"/>
      <c r="N123" s="924"/>
      <c r="O123" s="924"/>
      <c r="P123" s="924"/>
      <c r="Q123" s="904"/>
      <c r="R123" s="904"/>
    </row>
    <row r="124" spans="1:27" s="80" customFormat="1" ht="12.75" customHeight="1" thickBot="1" x14ac:dyDescent="0.25">
      <c r="A124" s="980"/>
      <c r="B124" s="981"/>
      <c r="C124" s="963"/>
      <c r="D124" s="963"/>
      <c r="E124" s="963"/>
      <c r="F124" s="963"/>
      <c r="G124" s="963"/>
      <c r="H124" s="963"/>
      <c r="I124" s="963"/>
      <c r="J124" s="1002"/>
      <c r="K124" s="1002"/>
      <c r="L124" s="1002"/>
      <c r="M124" s="991"/>
      <c r="N124" s="991"/>
      <c r="O124" s="991"/>
      <c r="P124" s="991"/>
      <c r="Q124" s="1012"/>
      <c r="R124" s="1012"/>
    </row>
    <row r="125" spans="1:27" s="80" customFormat="1" ht="21.75" customHeight="1" thickBot="1" x14ac:dyDescent="0.25">
      <c r="A125" s="985"/>
      <c r="B125" s="986" t="s">
        <v>75</v>
      </c>
      <c r="C125" s="1031"/>
      <c r="D125" s="1031">
        <f>SUM(D122:D124)</f>
        <v>4725</v>
      </c>
      <c r="E125" s="1031"/>
      <c r="F125" s="1031"/>
      <c r="G125" s="1031">
        <f>SUM(G122:G124)</f>
        <v>1275</v>
      </c>
      <c r="H125" s="1031"/>
      <c r="I125" s="1031"/>
      <c r="J125" s="1031">
        <f>SUM(J122:J124)</f>
        <v>6000</v>
      </c>
      <c r="K125" s="1031"/>
      <c r="L125" s="1031"/>
      <c r="M125" s="1031">
        <f>SUM(M122:M124)</f>
        <v>6000</v>
      </c>
      <c r="N125" s="1031"/>
      <c r="O125" s="1031"/>
      <c r="P125" s="1031">
        <f>SUM(P122:P124)</f>
        <v>0</v>
      </c>
      <c r="Q125" s="1015"/>
      <c r="R125" s="1016"/>
    </row>
    <row r="126" spans="1:27" s="80" customFormat="1" ht="13.5" customHeight="1" x14ac:dyDescent="0.2">
      <c r="A126" s="1017"/>
      <c r="B126" s="1030"/>
      <c r="C126" s="970"/>
      <c r="D126" s="970"/>
      <c r="E126" s="970"/>
      <c r="F126" s="970"/>
      <c r="G126" s="970"/>
      <c r="H126" s="970"/>
      <c r="I126" s="970"/>
      <c r="J126" s="970"/>
      <c r="K126" s="970"/>
      <c r="L126" s="970"/>
      <c r="M126" s="1018"/>
      <c r="N126" s="1018"/>
      <c r="O126" s="1018"/>
      <c r="P126" s="1018"/>
      <c r="Q126" s="1014"/>
      <c r="R126" s="1014"/>
    </row>
    <row r="127" spans="1:27" s="90" customFormat="1" ht="26.45" customHeight="1" x14ac:dyDescent="0.2">
      <c r="A127" s="932"/>
      <c r="B127" s="918" t="s">
        <v>983</v>
      </c>
      <c r="C127" s="920"/>
      <c r="D127" s="919"/>
      <c r="E127" s="919"/>
      <c r="F127" s="919"/>
      <c r="G127" s="919"/>
      <c r="H127" s="919"/>
      <c r="I127" s="919"/>
      <c r="J127" s="920"/>
      <c r="K127" s="920"/>
      <c r="L127" s="920"/>
      <c r="M127" s="928"/>
      <c r="N127" s="928"/>
      <c r="O127" s="928"/>
      <c r="P127" s="928"/>
      <c r="Q127" s="958"/>
      <c r="R127" s="958"/>
    </row>
    <row r="128" spans="1:27" s="90" customFormat="1" ht="33" customHeight="1" x14ac:dyDescent="0.15">
      <c r="A128" s="932" t="s">
        <v>494</v>
      </c>
      <c r="B128" s="960" t="s">
        <v>1096</v>
      </c>
      <c r="C128" s="927" t="s">
        <v>317</v>
      </c>
      <c r="D128" s="924">
        <v>3070</v>
      </c>
      <c r="E128" s="924"/>
      <c r="F128" s="924"/>
      <c r="G128" s="924">
        <v>830</v>
      </c>
      <c r="H128" s="924"/>
      <c r="I128" s="924"/>
      <c r="J128" s="933">
        <f>SUM(D128:G128)</f>
        <v>3900</v>
      </c>
      <c r="K128" s="933"/>
      <c r="L128" s="933"/>
      <c r="M128" s="933"/>
      <c r="N128" s="933"/>
      <c r="O128" s="933"/>
      <c r="P128" s="924">
        <f>J128</f>
        <v>3900</v>
      </c>
      <c r="Q128" s="958"/>
      <c r="R128" s="958"/>
    </row>
    <row r="129" spans="1:18" s="90" customFormat="1" ht="19.5" customHeight="1" x14ac:dyDescent="0.15">
      <c r="A129" s="932" t="s">
        <v>502</v>
      </c>
      <c r="B129" s="960" t="s">
        <v>1221</v>
      </c>
      <c r="C129" s="927" t="s">
        <v>317</v>
      </c>
      <c r="D129" s="924">
        <v>2732</v>
      </c>
      <c r="E129" s="924"/>
      <c r="F129" s="924"/>
      <c r="G129" s="924">
        <v>738</v>
      </c>
      <c r="H129" s="924"/>
      <c r="I129" s="924"/>
      <c r="J129" s="933">
        <f>SUM(D129:G129)</f>
        <v>3470</v>
      </c>
      <c r="K129" s="933"/>
      <c r="L129" s="933"/>
      <c r="M129" s="933"/>
      <c r="N129" s="933"/>
      <c r="O129" s="933"/>
      <c r="P129" s="924">
        <f>J129</f>
        <v>3470</v>
      </c>
      <c r="Q129" s="958"/>
      <c r="R129" s="958"/>
    </row>
    <row r="130" spans="1:18" s="90" customFormat="1" ht="19.5" customHeight="1" x14ac:dyDescent="0.15">
      <c r="A130" s="932" t="s">
        <v>503</v>
      </c>
      <c r="B130" s="960" t="s">
        <v>1273</v>
      </c>
      <c r="C130" s="927" t="s">
        <v>317</v>
      </c>
      <c r="D130" s="924">
        <v>2362</v>
      </c>
      <c r="E130" s="924"/>
      <c r="F130" s="924"/>
      <c r="G130" s="924">
        <v>638</v>
      </c>
      <c r="H130" s="924"/>
      <c r="I130" s="924"/>
      <c r="J130" s="933">
        <f>SUM(D130:G130)</f>
        <v>3000</v>
      </c>
      <c r="K130" s="933"/>
      <c r="L130" s="933"/>
      <c r="M130" s="933"/>
      <c r="N130" s="933"/>
      <c r="O130" s="933"/>
      <c r="P130" s="924">
        <f>J130</f>
        <v>3000</v>
      </c>
      <c r="Q130" s="958"/>
      <c r="R130" s="958"/>
    </row>
    <row r="131" spans="1:18" s="90" customFormat="1" ht="21.75" customHeight="1" x14ac:dyDescent="0.15">
      <c r="A131" s="932" t="s">
        <v>504</v>
      </c>
      <c r="B131" s="960" t="s">
        <v>1274</v>
      </c>
      <c r="C131" s="927" t="s">
        <v>317</v>
      </c>
      <c r="D131" s="924">
        <v>394</v>
      </c>
      <c r="E131" s="924"/>
      <c r="F131" s="924"/>
      <c r="G131" s="924">
        <v>106</v>
      </c>
      <c r="H131" s="924"/>
      <c r="I131" s="924"/>
      <c r="J131" s="933">
        <v>500</v>
      </c>
      <c r="K131" s="933"/>
      <c r="L131" s="933"/>
      <c r="M131" s="933"/>
      <c r="N131" s="933"/>
      <c r="O131" s="933"/>
      <c r="P131" s="924">
        <f>J131</f>
        <v>500</v>
      </c>
      <c r="Q131" s="958"/>
      <c r="R131" s="958"/>
    </row>
    <row r="132" spans="1:18" s="90" customFormat="1" ht="12" customHeight="1" thickBot="1" x14ac:dyDescent="0.25">
      <c r="A132" s="980"/>
      <c r="B132" s="1032"/>
      <c r="C132" s="1033"/>
      <c r="D132" s="964"/>
      <c r="E132" s="964"/>
      <c r="F132" s="964"/>
      <c r="G132" s="964"/>
      <c r="H132" s="964"/>
      <c r="I132" s="964"/>
      <c r="J132" s="964"/>
      <c r="K132" s="964"/>
      <c r="L132" s="964"/>
      <c r="M132" s="965"/>
      <c r="N132" s="965"/>
      <c r="O132" s="965"/>
      <c r="P132" s="964"/>
      <c r="Q132" s="1026"/>
      <c r="R132" s="1026"/>
    </row>
    <row r="133" spans="1:18" s="90" customFormat="1" ht="21.75" customHeight="1" thickBot="1" x14ac:dyDescent="0.2">
      <c r="A133" s="985"/>
      <c r="B133" s="986" t="s">
        <v>982</v>
      </c>
      <c r="C133" s="1031"/>
      <c r="D133" s="1031">
        <f>SUM(D128:D132)</f>
        <v>8558</v>
      </c>
      <c r="E133" s="1031"/>
      <c r="F133" s="1031"/>
      <c r="G133" s="1031">
        <f>SUM(G128:G132)</f>
        <v>2312</v>
      </c>
      <c r="H133" s="1031"/>
      <c r="I133" s="1031"/>
      <c r="J133" s="1031">
        <f>SUM(J128:J132)</f>
        <v>10870</v>
      </c>
      <c r="K133" s="1031"/>
      <c r="L133" s="1031"/>
      <c r="M133" s="1031">
        <f>SUM(M128:M132)</f>
        <v>0</v>
      </c>
      <c r="N133" s="1031"/>
      <c r="O133" s="1031"/>
      <c r="P133" s="1031">
        <f>SUM(P128:P132)</f>
        <v>10870</v>
      </c>
      <c r="Q133" s="1015"/>
      <c r="R133" s="1016"/>
    </row>
    <row r="134" spans="1:18" s="90" customFormat="1" ht="13.5" customHeight="1" x14ac:dyDescent="0.15">
      <c r="A134" s="968"/>
      <c r="B134" s="1013"/>
      <c r="C134" s="971"/>
      <c r="D134" s="971"/>
      <c r="E134" s="971"/>
      <c r="F134" s="971"/>
      <c r="G134" s="971"/>
      <c r="H134" s="971"/>
      <c r="I134" s="971"/>
      <c r="J134" s="971"/>
      <c r="K134" s="971"/>
      <c r="L134" s="971"/>
      <c r="M134" s="971"/>
      <c r="N134" s="971"/>
      <c r="O134" s="971"/>
      <c r="P134" s="971"/>
      <c r="Q134" s="1028"/>
      <c r="R134" s="1028"/>
    </row>
    <row r="135" spans="1:18" s="90" customFormat="1" ht="13.5" customHeight="1" x14ac:dyDescent="0.15">
      <c r="A135" s="931"/>
      <c r="B135" s="918" t="s">
        <v>719</v>
      </c>
      <c r="C135" s="920"/>
      <c r="D135" s="920"/>
      <c r="E135" s="920"/>
      <c r="F135" s="920"/>
      <c r="G135" s="920"/>
      <c r="H135" s="920"/>
      <c r="I135" s="920"/>
      <c r="J135" s="920"/>
      <c r="K135" s="920"/>
      <c r="L135" s="920"/>
      <c r="M135" s="920"/>
      <c r="N135" s="920"/>
      <c r="O135" s="920"/>
      <c r="P135" s="920"/>
      <c r="Q135" s="958"/>
      <c r="R135" s="958"/>
    </row>
    <row r="136" spans="1:18" s="609" customFormat="1" ht="26.25" customHeight="1" x14ac:dyDescent="0.2">
      <c r="A136" s="932" t="s">
        <v>494</v>
      </c>
      <c r="B136" s="960" t="s">
        <v>1129</v>
      </c>
      <c r="C136" s="927" t="s">
        <v>317</v>
      </c>
      <c r="D136" s="924">
        <v>0</v>
      </c>
      <c r="E136" s="924"/>
      <c r="F136" s="924"/>
      <c r="G136" s="924">
        <v>0</v>
      </c>
      <c r="H136" s="924"/>
      <c r="I136" s="924"/>
      <c r="J136" s="933">
        <f>SUM(D136:G136)</f>
        <v>0</v>
      </c>
      <c r="K136" s="933"/>
      <c r="L136" s="933"/>
      <c r="M136" s="924">
        <f>J136</f>
        <v>0</v>
      </c>
      <c r="N136" s="924"/>
      <c r="O136" s="924"/>
      <c r="P136" s="954"/>
      <c r="Q136" s="959"/>
      <c r="R136" s="959"/>
    </row>
    <row r="137" spans="1:18" s="609" customFormat="1" ht="21.75" customHeight="1" x14ac:dyDescent="0.2">
      <c r="A137" s="932" t="s">
        <v>502</v>
      </c>
      <c r="B137" s="923" t="s">
        <v>1095</v>
      </c>
      <c r="C137" s="927" t="s">
        <v>317</v>
      </c>
      <c r="D137" s="927">
        <v>2205</v>
      </c>
      <c r="E137" s="927"/>
      <c r="F137" s="927"/>
      <c r="G137" s="927">
        <v>595</v>
      </c>
      <c r="H137" s="927"/>
      <c r="I137" s="927"/>
      <c r="J137" s="954">
        <f>SUM(D137:G137)</f>
        <v>2800</v>
      </c>
      <c r="K137" s="954"/>
      <c r="L137" s="954"/>
      <c r="M137" s="927">
        <v>0</v>
      </c>
      <c r="N137" s="927"/>
      <c r="O137" s="927"/>
      <c r="P137" s="927">
        <f>J137</f>
        <v>2800</v>
      </c>
      <c r="Q137" s="959"/>
      <c r="R137" s="959"/>
    </row>
    <row r="138" spans="1:18" s="609" customFormat="1" ht="21.75" customHeight="1" x14ac:dyDescent="0.2">
      <c r="A138" s="932" t="s">
        <v>503</v>
      </c>
      <c r="B138" s="923" t="s">
        <v>1128</v>
      </c>
      <c r="C138" s="927" t="s">
        <v>317</v>
      </c>
      <c r="D138" s="927">
        <v>787</v>
      </c>
      <c r="E138" s="927"/>
      <c r="F138" s="927"/>
      <c r="G138" s="927">
        <v>213</v>
      </c>
      <c r="H138" s="927"/>
      <c r="I138" s="927"/>
      <c r="J138" s="954">
        <f>SUM(D138:G138)</f>
        <v>1000</v>
      </c>
      <c r="K138" s="954"/>
      <c r="L138" s="954"/>
      <c r="M138" s="927">
        <v>1000</v>
      </c>
      <c r="N138" s="927"/>
      <c r="O138" s="927"/>
      <c r="P138" s="927"/>
      <c r="Q138" s="959"/>
      <c r="R138" s="959"/>
    </row>
    <row r="139" spans="1:18" s="609" customFormat="1" ht="11.25" customHeight="1" thickBot="1" x14ac:dyDescent="0.25">
      <c r="A139" s="980"/>
      <c r="B139" s="981"/>
      <c r="C139" s="963"/>
      <c r="D139" s="963"/>
      <c r="E139" s="963"/>
      <c r="F139" s="963"/>
      <c r="G139" s="963"/>
      <c r="H139" s="963"/>
      <c r="I139" s="963"/>
      <c r="J139" s="1002"/>
      <c r="K139" s="1002"/>
      <c r="L139" s="1002"/>
      <c r="M139" s="963"/>
      <c r="N139" s="963"/>
      <c r="O139" s="963"/>
      <c r="P139" s="963"/>
      <c r="Q139" s="1034"/>
      <c r="R139" s="1034"/>
    </row>
    <row r="140" spans="1:18" s="90" customFormat="1" ht="21.75" customHeight="1" thickBot="1" x14ac:dyDescent="0.2">
      <c r="A140" s="985"/>
      <c r="B140" s="986" t="s">
        <v>16</v>
      </c>
      <c r="C140" s="1031"/>
      <c r="D140" s="1031">
        <f>SUM(D136:D138)</f>
        <v>2992</v>
      </c>
      <c r="E140" s="1031"/>
      <c r="F140" s="1031"/>
      <c r="G140" s="1031">
        <f>SUM(G136:G138)</f>
        <v>808</v>
      </c>
      <c r="H140" s="1031"/>
      <c r="I140" s="1031"/>
      <c r="J140" s="1031">
        <f>SUM(J136:J138)</f>
        <v>3800</v>
      </c>
      <c r="K140" s="1031"/>
      <c r="L140" s="1031"/>
      <c r="M140" s="1031">
        <f>SUM(M136:M138)</f>
        <v>1000</v>
      </c>
      <c r="N140" s="1031"/>
      <c r="O140" s="1031"/>
      <c r="P140" s="1031">
        <f>SUM(P136:P138)</f>
        <v>2800</v>
      </c>
      <c r="Q140" s="1015"/>
      <c r="R140" s="1016"/>
    </row>
    <row r="141" spans="1:18" s="90" customFormat="1" ht="13.5" customHeight="1" x14ac:dyDescent="0.15">
      <c r="A141" s="968"/>
      <c r="B141" s="1013"/>
      <c r="C141" s="971"/>
      <c r="D141" s="971"/>
      <c r="E141" s="971"/>
      <c r="F141" s="971"/>
      <c r="G141" s="971"/>
      <c r="H141" s="971"/>
      <c r="I141" s="971"/>
      <c r="J141" s="971"/>
      <c r="K141" s="971"/>
      <c r="L141" s="971"/>
      <c r="M141" s="971"/>
      <c r="N141" s="971"/>
      <c r="O141" s="971"/>
      <c r="P141" s="971"/>
      <c r="Q141" s="1028"/>
      <c r="R141" s="1028"/>
    </row>
    <row r="142" spans="1:18" s="90" customFormat="1" ht="13.5" customHeight="1" x14ac:dyDescent="0.15">
      <c r="A142" s="931"/>
      <c r="B142" s="918" t="s">
        <v>1275</v>
      </c>
      <c r="C142" s="920"/>
      <c r="D142" s="920"/>
      <c r="E142" s="920"/>
      <c r="F142" s="920"/>
      <c r="G142" s="920"/>
      <c r="H142" s="920"/>
      <c r="I142" s="920"/>
      <c r="J142" s="920"/>
      <c r="K142" s="920"/>
      <c r="L142" s="920"/>
      <c r="M142" s="920"/>
      <c r="N142" s="920"/>
      <c r="O142" s="920"/>
      <c r="P142" s="920"/>
      <c r="Q142" s="958"/>
      <c r="R142" s="958"/>
    </row>
    <row r="143" spans="1:18" s="609" customFormat="1" ht="21.75" customHeight="1" x14ac:dyDescent="0.2">
      <c r="A143" s="932" t="s">
        <v>494</v>
      </c>
      <c r="B143" s="923" t="s">
        <v>192</v>
      </c>
      <c r="C143" s="927" t="s">
        <v>317</v>
      </c>
      <c r="D143" s="927">
        <v>394</v>
      </c>
      <c r="E143" s="927"/>
      <c r="F143" s="927"/>
      <c r="G143" s="927">
        <v>106</v>
      </c>
      <c r="H143" s="927"/>
      <c r="I143" s="927"/>
      <c r="J143" s="954">
        <v>500</v>
      </c>
      <c r="K143" s="954"/>
      <c r="L143" s="954"/>
      <c r="M143" s="927">
        <v>500</v>
      </c>
      <c r="N143" s="927"/>
      <c r="O143" s="927"/>
      <c r="P143" s="954"/>
      <c r="Q143" s="959"/>
      <c r="R143" s="959"/>
    </row>
    <row r="144" spans="1:18" s="609" customFormat="1" ht="21.75" customHeight="1" x14ac:dyDescent="0.2">
      <c r="A144" s="932" t="s">
        <v>502</v>
      </c>
      <c r="B144" s="923" t="s">
        <v>1094</v>
      </c>
      <c r="C144" s="927" t="s">
        <v>317</v>
      </c>
      <c r="D144" s="927">
        <v>709</v>
      </c>
      <c r="E144" s="927"/>
      <c r="F144" s="927"/>
      <c r="G144" s="927">
        <v>191</v>
      </c>
      <c r="H144" s="927"/>
      <c r="I144" s="927"/>
      <c r="J144" s="954">
        <f>SUM(D144:G144)</f>
        <v>900</v>
      </c>
      <c r="K144" s="954"/>
      <c r="L144" s="954"/>
      <c r="M144" s="927">
        <v>900</v>
      </c>
      <c r="N144" s="927"/>
      <c r="O144" s="927"/>
      <c r="P144" s="954"/>
      <c r="Q144" s="959"/>
      <c r="R144" s="959"/>
    </row>
    <row r="145" spans="1:22" s="609" customFormat="1" ht="12" customHeight="1" thickBot="1" x14ac:dyDescent="0.25">
      <c r="A145" s="980"/>
      <c r="B145" s="981"/>
      <c r="C145" s="963"/>
      <c r="D145" s="963"/>
      <c r="E145" s="963"/>
      <c r="F145" s="963"/>
      <c r="G145" s="963"/>
      <c r="H145" s="963"/>
      <c r="I145" s="963"/>
      <c r="J145" s="1002"/>
      <c r="K145" s="1002"/>
      <c r="L145" s="1002"/>
      <c r="M145" s="963"/>
      <c r="N145" s="963"/>
      <c r="O145" s="963"/>
      <c r="P145" s="1002"/>
      <c r="Q145" s="1034"/>
      <c r="R145" s="1034"/>
    </row>
    <row r="146" spans="1:22" s="609" customFormat="1" ht="21.75" customHeight="1" thickBot="1" x14ac:dyDescent="0.25">
      <c r="A146" s="985"/>
      <c r="B146" s="986" t="s">
        <v>193</v>
      </c>
      <c r="C146" s="1031"/>
      <c r="D146" s="1031">
        <f>SUM(D143:D144)</f>
        <v>1103</v>
      </c>
      <c r="E146" s="1031"/>
      <c r="F146" s="1031"/>
      <c r="G146" s="1031">
        <f>SUM(G143:G144)</f>
        <v>297</v>
      </c>
      <c r="H146" s="1031"/>
      <c r="I146" s="1031"/>
      <c r="J146" s="1031">
        <f>SUM(J143:J144)</f>
        <v>1400</v>
      </c>
      <c r="K146" s="1031"/>
      <c r="L146" s="1031"/>
      <c r="M146" s="1031">
        <f>SUM(M143:M144)</f>
        <v>1400</v>
      </c>
      <c r="N146" s="1031"/>
      <c r="O146" s="1031"/>
      <c r="P146" s="1031"/>
      <c r="Q146" s="1035"/>
      <c r="R146" s="1036"/>
    </row>
    <row r="147" spans="1:22" s="90" customFormat="1" ht="13.5" customHeight="1" x14ac:dyDescent="0.2">
      <c r="A147" s="1017"/>
      <c r="B147" s="1030"/>
      <c r="C147" s="970"/>
      <c r="D147" s="970"/>
      <c r="E147" s="970"/>
      <c r="F147" s="970"/>
      <c r="G147" s="970"/>
      <c r="H147" s="970"/>
      <c r="I147" s="970"/>
      <c r="J147" s="971"/>
      <c r="K147" s="971"/>
      <c r="L147" s="971"/>
      <c r="M147" s="1027"/>
      <c r="N147" s="1027"/>
      <c r="O147" s="1027"/>
      <c r="P147" s="1027"/>
      <c r="Q147" s="1028"/>
      <c r="R147" s="1028"/>
      <c r="V147" s="440"/>
    </row>
    <row r="148" spans="1:22" s="90" customFormat="1" ht="13.5" customHeight="1" x14ac:dyDescent="0.15">
      <c r="A148" s="931" t="s">
        <v>527</v>
      </c>
      <c r="B148" s="918" t="s">
        <v>528</v>
      </c>
      <c r="C148" s="920"/>
      <c r="D148" s="920"/>
      <c r="E148" s="920"/>
      <c r="F148" s="920"/>
      <c r="G148" s="920"/>
      <c r="H148" s="920"/>
      <c r="I148" s="920"/>
      <c r="J148" s="920"/>
      <c r="K148" s="920"/>
      <c r="L148" s="920"/>
      <c r="M148" s="928"/>
      <c r="N148" s="928"/>
      <c r="O148" s="928"/>
      <c r="P148" s="928"/>
      <c r="Q148" s="958"/>
      <c r="R148" s="958"/>
    </row>
    <row r="149" spans="1:22" s="90" customFormat="1" ht="11.25" customHeight="1" thickBot="1" x14ac:dyDescent="0.25">
      <c r="A149" s="980"/>
      <c r="B149" s="981"/>
      <c r="C149" s="966"/>
      <c r="D149" s="966"/>
      <c r="E149" s="966"/>
      <c r="F149" s="966"/>
      <c r="G149" s="966"/>
      <c r="H149" s="966"/>
      <c r="I149" s="966"/>
      <c r="J149" s="1011"/>
      <c r="K149" s="1011"/>
      <c r="L149" s="1011"/>
      <c r="M149" s="964"/>
      <c r="N149" s="964"/>
      <c r="O149" s="964"/>
      <c r="P149" s="1037"/>
      <c r="Q149" s="1026"/>
      <c r="R149" s="1026"/>
    </row>
    <row r="150" spans="1:22" s="90" customFormat="1" ht="21.75" customHeight="1" thickBot="1" x14ac:dyDescent="0.2">
      <c r="A150" s="985"/>
      <c r="B150" s="986" t="s">
        <v>529</v>
      </c>
      <c r="C150" s="976"/>
      <c r="D150" s="976">
        <f>D148</f>
        <v>0</v>
      </c>
      <c r="E150" s="976"/>
      <c r="F150" s="976"/>
      <c r="G150" s="976">
        <f t="shared" ref="G150:M150" si="17">G148</f>
        <v>0</v>
      </c>
      <c r="H150" s="976"/>
      <c r="I150" s="976"/>
      <c r="J150" s="976">
        <f t="shared" si="17"/>
        <v>0</v>
      </c>
      <c r="K150" s="976"/>
      <c r="L150" s="976"/>
      <c r="M150" s="976">
        <f t="shared" si="17"/>
        <v>0</v>
      </c>
      <c r="N150" s="976"/>
      <c r="O150" s="976"/>
      <c r="P150" s="976"/>
      <c r="Q150" s="1015"/>
      <c r="R150" s="1016"/>
    </row>
    <row r="151" spans="1:22" s="80" customFormat="1" ht="13.5" customHeight="1" thickBot="1" x14ac:dyDescent="0.25">
      <c r="A151" s="1044"/>
      <c r="B151" s="1038"/>
      <c r="C151" s="1039"/>
      <c r="D151" s="1039"/>
      <c r="E151" s="1039"/>
      <c r="F151" s="1039"/>
      <c r="G151" s="1039"/>
      <c r="H151" s="1039"/>
      <c r="I151" s="1039"/>
      <c r="J151" s="1040"/>
      <c r="K151" s="1040"/>
      <c r="L151" s="1040"/>
      <c r="M151" s="1041"/>
      <c r="N151" s="1041"/>
      <c r="O151" s="1041"/>
      <c r="P151" s="1041"/>
      <c r="Q151" s="1042"/>
      <c r="R151" s="1042"/>
    </row>
    <row r="152" spans="1:22" s="90" customFormat="1" ht="20.25" customHeight="1" thickBot="1" x14ac:dyDescent="0.2">
      <c r="A152" s="1045"/>
      <c r="B152" s="1043" t="s">
        <v>530</v>
      </c>
      <c r="C152" s="1031"/>
      <c r="D152" s="1031">
        <f>D20+D27+D58+D70+D75+D84+D91+D102+D108+D119+D125+D133+D140+D150+D146</f>
        <v>1874140</v>
      </c>
      <c r="E152" s="1031"/>
      <c r="F152" s="1031"/>
      <c r="G152" s="1031">
        <f>G20+G27+G58+G70+G75+G84+G91+G102+G108+G119+G125+G133+G140+G150+G146</f>
        <v>479085</v>
      </c>
      <c r="H152" s="1031"/>
      <c r="I152" s="1031"/>
      <c r="J152" s="1031">
        <f>J20+J27+J58+J70+J75+J84+J91+J102+J108+J119+J125+J133+J140+J150+J146</f>
        <v>2353225</v>
      </c>
      <c r="K152" s="1031"/>
      <c r="L152" s="1031"/>
      <c r="M152" s="1031">
        <f>M20+M27+M58+M70+M75+M84+M91+M102+M108+M119+M125+M133+M140+M150+M146</f>
        <v>2151694</v>
      </c>
      <c r="N152" s="1031"/>
      <c r="O152" s="1031"/>
      <c r="P152" s="1031">
        <f>P20+P27+P58+P70+P75+P84+P91+P102+P108+P119+P125+P133+P140+P150+P146</f>
        <v>201531</v>
      </c>
      <c r="Q152" s="1015"/>
      <c r="R152" s="1016"/>
    </row>
    <row r="155" spans="1:22" ht="14.1" customHeight="1" x14ac:dyDescent="0.2">
      <c r="G155" s="91"/>
      <c r="H155" s="91"/>
      <c r="I155" s="91"/>
      <c r="J155" s="92"/>
      <c r="K155" s="92"/>
      <c r="L155" s="92"/>
    </row>
  </sheetData>
  <sheetProtection selectLockedCells="1" selectUnlockedCells="1"/>
  <mergeCells count="14">
    <mergeCell ref="A1:P1"/>
    <mergeCell ref="A2:P2"/>
    <mergeCell ref="A4:P4"/>
    <mergeCell ref="A5:A9"/>
    <mergeCell ref="B8:B9"/>
    <mergeCell ref="C8:C9"/>
    <mergeCell ref="B3:P3"/>
    <mergeCell ref="D8:F8"/>
    <mergeCell ref="G8:I8"/>
    <mergeCell ref="J8:L8"/>
    <mergeCell ref="D7:L7"/>
    <mergeCell ref="M8:O8"/>
    <mergeCell ref="P8:R8"/>
    <mergeCell ref="M7:R7"/>
  </mergeCells>
  <phoneticPr fontId="33" type="noConversion"/>
  <pageMargins left="0" right="0" top="0.39370078740157483" bottom="0.39370078740157483" header="0.51181102362204722" footer="0.51181102362204722"/>
  <pageSetup paperSize="8" scale="79" firstPageNumber="0" fitToHeight="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44"/>
  <sheetViews>
    <sheetView workbookViewId="0">
      <selection activeCell="N21" sqref="N21"/>
    </sheetView>
  </sheetViews>
  <sheetFormatPr defaultColWidth="9.140625" defaultRowHeight="15.75" x14ac:dyDescent="0.25"/>
  <cols>
    <col min="1" max="1" width="6" style="15" customWidth="1"/>
    <col min="2" max="2" width="52" style="16" customWidth="1"/>
    <col min="3" max="3" width="16.85546875" style="36" customWidth="1"/>
    <col min="4" max="4" width="14" style="36" customWidth="1"/>
    <col min="5" max="5" width="20.42578125" style="16" customWidth="1"/>
    <col min="6" max="16384" width="9.140625" style="16"/>
  </cols>
  <sheetData>
    <row r="1" spans="1:10" x14ac:dyDescent="0.25">
      <c r="B1" s="17"/>
      <c r="C1" s="24"/>
    </row>
    <row r="2" spans="1:10" x14ac:dyDescent="0.25">
      <c r="A2" s="1327" t="s">
        <v>1289</v>
      </c>
      <c r="B2" s="1327"/>
      <c r="C2" s="1327"/>
      <c r="D2" s="1327"/>
      <c r="E2" s="1327"/>
    </row>
    <row r="3" spans="1:10" x14ac:dyDescent="0.25">
      <c r="B3" s="18"/>
      <c r="C3" s="239"/>
    </row>
    <row r="4" spans="1:10" ht="15" customHeight="1" x14ac:dyDescent="0.25">
      <c r="A4" s="1328" t="s">
        <v>78</v>
      </c>
      <c r="B4" s="1328"/>
      <c r="C4" s="1328"/>
      <c r="D4" s="1328"/>
      <c r="E4" s="1328"/>
    </row>
    <row r="5" spans="1:10" ht="15" customHeight="1" x14ac:dyDescent="0.25">
      <c r="A5" s="1329" t="s">
        <v>1103</v>
      </c>
      <c r="B5" s="1329"/>
      <c r="C5" s="1329"/>
      <c r="D5" s="1329"/>
      <c r="E5" s="1329"/>
    </row>
    <row r="6" spans="1:10" ht="15" customHeight="1" x14ac:dyDescent="0.25">
      <c r="A6" s="1329" t="s">
        <v>540</v>
      </c>
      <c r="B6" s="1329"/>
      <c r="C6" s="1329"/>
      <c r="D6" s="1329"/>
      <c r="E6" s="1329"/>
    </row>
    <row r="7" spans="1:10" ht="15" customHeight="1" x14ac:dyDescent="0.25">
      <c r="B7" s="1329"/>
      <c r="C7" s="1329"/>
    </row>
    <row r="8" spans="1:10" s="19" customFormat="1" ht="20.100000000000001" customHeight="1" x14ac:dyDescent="0.25">
      <c r="A8" s="1330" t="s">
        <v>311</v>
      </c>
      <c r="B8" s="1331"/>
      <c r="C8" s="1332"/>
      <c r="D8" s="1332"/>
      <c r="E8" s="1332"/>
    </row>
    <row r="9" spans="1:10" s="19" customFormat="1" ht="20.100000000000001" customHeight="1" x14ac:dyDescent="0.25">
      <c r="A9" s="1334" t="s">
        <v>77</v>
      </c>
      <c r="B9" s="354" t="s">
        <v>57</v>
      </c>
      <c r="C9" s="1325" t="s">
        <v>58</v>
      </c>
      <c r="D9" s="1325"/>
      <c r="E9" s="1325"/>
      <c r="F9" s="1325"/>
      <c r="G9" s="1325"/>
      <c r="H9" s="1325"/>
      <c r="I9" s="1325"/>
      <c r="J9" s="1325"/>
    </row>
    <row r="10" spans="1:10" ht="46.5" customHeight="1" x14ac:dyDescent="0.25">
      <c r="A10" s="1334"/>
      <c r="B10" s="1326" t="s">
        <v>86</v>
      </c>
      <c r="C10" s="1333" t="s">
        <v>1166</v>
      </c>
      <c r="D10" s="1333"/>
      <c r="E10" s="1333"/>
      <c r="F10" s="1230" t="s">
        <v>1294</v>
      </c>
      <c r="G10" s="1230"/>
      <c r="H10" s="1230" t="s">
        <v>1292</v>
      </c>
      <c r="I10" s="1230"/>
      <c r="J10" s="1230"/>
    </row>
    <row r="11" spans="1:10" ht="20.100000000000001" customHeight="1" x14ac:dyDescent="0.25">
      <c r="A11" s="1334"/>
      <c r="B11" s="1326"/>
      <c r="C11" s="353" t="s">
        <v>183</v>
      </c>
      <c r="D11" s="355" t="s">
        <v>184</v>
      </c>
      <c r="E11" s="356" t="s">
        <v>185</v>
      </c>
      <c r="F11" s="757" t="s">
        <v>62</v>
      </c>
      <c r="G11" s="757" t="s">
        <v>63</v>
      </c>
      <c r="H11" s="757" t="s">
        <v>62</v>
      </c>
      <c r="I11" s="757" t="s">
        <v>63</v>
      </c>
      <c r="J11" s="757" t="s">
        <v>64</v>
      </c>
    </row>
    <row r="12" spans="1:10" ht="20.100000000000001" customHeight="1" x14ac:dyDescent="0.25">
      <c r="A12" s="21" t="s">
        <v>494</v>
      </c>
      <c r="B12" s="22" t="s">
        <v>541</v>
      </c>
      <c r="C12" s="436"/>
      <c r="D12" s="437"/>
      <c r="E12" s="438"/>
    </row>
    <row r="13" spans="1:10" ht="20.100000000000001" customHeight="1" x14ac:dyDescent="0.25">
      <c r="A13" s="21" t="s">
        <v>502</v>
      </c>
      <c r="B13" s="1046" t="s">
        <v>656</v>
      </c>
      <c r="C13" s="1047"/>
      <c r="D13" s="1048"/>
      <c r="E13" s="1049"/>
      <c r="F13" s="1049"/>
      <c r="G13" s="1049"/>
      <c r="H13" s="1049"/>
      <c r="I13" s="1049"/>
      <c r="J13" s="1049"/>
    </row>
    <row r="14" spans="1:10" ht="30.75" customHeight="1" x14ac:dyDescent="0.25">
      <c r="A14" s="698" t="s">
        <v>503</v>
      </c>
      <c r="B14" s="1050" t="s">
        <v>313</v>
      </c>
      <c r="C14" s="1051"/>
      <c r="D14" s="1051">
        <v>0</v>
      </c>
      <c r="E14" s="1052">
        <f t="shared" ref="E14:E21" si="0">C14+D14</f>
        <v>0</v>
      </c>
      <c r="F14" s="1049"/>
      <c r="G14" s="1049"/>
      <c r="H14" s="1049"/>
      <c r="I14" s="1049"/>
      <c r="J14" s="1049"/>
    </row>
    <row r="15" spans="1:10" ht="24.6" customHeight="1" x14ac:dyDescent="0.25">
      <c r="A15" s="698" t="s">
        <v>504</v>
      </c>
      <c r="B15" s="1050" t="s">
        <v>665</v>
      </c>
      <c r="C15" s="1051"/>
      <c r="D15" s="1051">
        <v>143934</v>
      </c>
      <c r="E15" s="1052">
        <f t="shared" si="0"/>
        <v>143934</v>
      </c>
      <c r="F15" s="1049"/>
      <c r="G15" s="1049"/>
      <c r="H15" s="1049"/>
      <c r="I15" s="1049"/>
      <c r="J15" s="1049"/>
    </row>
    <row r="16" spans="1:10" ht="36" customHeight="1" x14ac:dyDescent="0.25">
      <c r="A16" s="698" t="s">
        <v>505</v>
      </c>
      <c r="B16" s="1053" t="s">
        <v>1227</v>
      </c>
      <c r="C16" s="1051">
        <v>78232</v>
      </c>
      <c r="D16" s="1054"/>
      <c r="E16" s="1052">
        <f t="shared" si="0"/>
        <v>78232</v>
      </c>
      <c r="F16" s="1049"/>
      <c r="G16" s="1049"/>
      <c r="H16" s="1049"/>
      <c r="I16" s="1049"/>
      <c r="J16" s="1049"/>
    </row>
    <row r="17" spans="1:10" ht="36.75" customHeight="1" x14ac:dyDescent="0.25">
      <c r="A17" s="698" t="s">
        <v>506</v>
      </c>
      <c r="B17" s="1055" t="s">
        <v>1230</v>
      </c>
      <c r="C17" s="1054">
        <v>0</v>
      </c>
      <c r="D17" s="1054"/>
      <c r="E17" s="1052">
        <f t="shared" si="0"/>
        <v>0</v>
      </c>
      <c r="F17" s="1049"/>
      <c r="G17" s="1049"/>
      <c r="H17" s="1049"/>
      <c r="I17" s="1049"/>
      <c r="J17" s="1049"/>
    </row>
    <row r="18" spans="1:10" ht="24" customHeight="1" x14ac:dyDescent="0.25">
      <c r="A18" s="698" t="s">
        <v>507</v>
      </c>
      <c r="B18" s="1050" t="s">
        <v>1226</v>
      </c>
      <c r="C18" s="1054">
        <v>115342</v>
      </c>
      <c r="D18" s="1054"/>
      <c r="E18" s="1052">
        <f t="shared" si="0"/>
        <v>115342</v>
      </c>
      <c r="F18" s="1049"/>
      <c r="G18" s="1049"/>
      <c r="H18" s="1049"/>
      <c r="I18" s="1049"/>
      <c r="J18" s="1049"/>
    </row>
    <row r="19" spans="1:10" ht="31.5" customHeight="1" x14ac:dyDescent="0.25">
      <c r="A19" s="698" t="s">
        <v>508</v>
      </c>
      <c r="B19" s="1063" t="s">
        <v>1276</v>
      </c>
      <c r="C19" s="1064">
        <v>45160</v>
      </c>
      <c r="D19" s="1064"/>
      <c r="E19" s="1065">
        <f t="shared" si="0"/>
        <v>45160</v>
      </c>
      <c r="F19" s="1066"/>
      <c r="G19" s="1066"/>
      <c r="H19" s="1066"/>
      <c r="I19" s="1066"/>
      <c r="J19" s="1066"/>
    </row>
    <row r="20" spans="1:10" ht="31.5" customHeight="1" thickBot="1" x14ac:dyDescent="0.3">
      <c r="A20" s="1086"/>
      <c r="B20" s="1063"/>
      <c r="C20" s="1064"/>
      <c r="D20" s="1064"/>
      <c r="E20" s="1065"/>
      <c r="F20" s="1066"/>
      <c r="G20" s="1066"/>
      <c r="H20" s="1066"/>
      <c r="I20" s="1066"/>
      <c r="J20" s="1066"/>
    </row>
    <row r="21" spans="1:10" s="15" customFormat="1" ht="19.5" customHeight="1" thickBot="1" x14ac:dyDescent="0.3">
      <c r="A21" s="707" t="s">
        <v>509</v>
      </c>
      <c r="B21" s="1072" t="s">
        <v>49</v>
      </c>
      <c r="C21" s="1073">
        <f>SUM(C14:C19)</f>
        <v>238734</v>
      </c>
      <c r="D21" s="1073">
        <f>SUM(D14:D16)</f>
        <v>143934</v>
      </c>
      <c r="E21" s="1074">
        <f t="shared" si="0"/>
        <v>382668</v>
      </c>
      <c r="F21" s="1075"/>
      <c r="G21" s="1075"/>
      <c r="H21" s="1075"/>
      <c r="I21" s="1075"/>
      <c r="J21" s="1076"/>
    </row>
    <row r="22" spans="1:10" s="15" customFormat="1" ht="20.25" customHeight="1" x14ac:dyDescent="0.25">
      <c r="A22" s="698" t="s">
        <v>551</v>
      </c>
      <c r="B22" s="1067"/>
      <c r="C22" s="1068"/>
      <c r="D22" s="1069"/>
      <c r="E22" s="1070"/>
      <c r="F22" s="1071"/>
      <c r="G22" s="1071"/>
      <c r="H22" s="1071"/>
      <c r="I22" s="1071"/>
      <c r="J22" s="1071"/>
    </row>
    <row r="23" spans="1:10" ht="19.5" customHeight="1" x14ac:dyDescent="0.25">
      <c r="A23" s="698" t="s">
        <v>552</v>
      </c>
      <c r="B23" s="1056" t="s">
        <v>657</v>
      </c>
      <c r="C23" s="1051"/>
      <c r="D23" s="1057"/>
      <c r="E23" s="1058"/>
      <c r="F23" s="1049"/>
      <c r="G23" s="1049"/>
      <c r="H23" s="1049"/>
      <c r="I23" s="1049"/>
      <c r="J23" s="1049"/>
    </row>
    <row r="24" spans="1:10" ht="21" customHeight="1" x14ac:dyDescent="0.25">
      <c r="A24" s="698" t="s">
        <v>553</v>
      </c>
      <c r="B24" s="1059" t="s">
        <v>542</v>
      </c>
      <c r="C24" s="1051"/>
      <c r="D24" s="1051">
        <v>30000</v>
      </c>
      <c r="E24" s="1052">
        <f>C24+D24</f>
        <v>30000</v>
      </c>
      <c r="F24" s="1049"/>
      <c r="G24" s="1049"/>
      <c r="H24" s="1049"/>
      <c r="I24" s="1049"/>
      <c r="J24" s="1049"/>
    </row>
    <row r="25" spans="1:10" ht="21.75" customHeight="1" x14ac:dyDescent="0.25">
      <c r="A25" s="698" t="s">
        <v>554</v>
      </c>
      <c r="B25" s="1060" t="s">
        <v>543</v>
      </c>
      <c r="C25" s="1051"/>
      <c r="D25" s="1051">
        <v>2894</v>
      </c>
      <c r="E25" s="1052">
        <f>C25+D25</f>
        <v>2894</v>
      </c>
      <c r="F25" s="1049"/>
      <c r="G25" s="1049"/>
      <c r="H25" s="1049"/>
      <c r="I25" s="1049"/>
      <c r="J25" s="1049"/>
    </row>
    <row r="26" spans="1:10" ht="41.25" customHeight="1" x14ac:dyDescent="0.25">
      <c r="A26" s="698" t="s">
        <v>555</v>
      </c>
      <c r="B26" s="1077" t="s">
        <v>1007</v>
      </c>
      <c r="C26" s="1078"/>
      <c r="D26" s="1079">
        <v>88</v>
      </c>
      <c r="E26" s="1080">
        <f>C26+D26</f>
        <v>88</v>
      </c>
      <c r="F26" s="1066"/>
      <c r="G26" s="1066"/>
      <c r="H26" s="1066"/>
      <c r="I26" s="1066"/>
      <c r="J26" s="1066"/>
    </row>
    <row r="27" spans="1:10" ht="41.25" customHeight="1" thickBot="1" x14ac:dyDescent="0.3">
      <c r="A27" s="1086"/>
      <c r="B27" s="1077"/>
      <c r="C27" s="1078"/>
      <c r="D27" s="1079"/>
      <c r="E27" s="1080"/>
      <c r="F27" s="1066"/>
      <c r="G27" s="1066"/>
      <c r="H27" s="1066"/>
      <c r="I27" s="1066"/>
      <c r="J27" s="1066"/>
    </row>
    <row r="28" spans="1:10" s="15" customFormat="1" ht="21" customHeight="1" thickBot="1" x14ac:dyDescent="0.3">
      <c r="A28" s="707" t="s">
        <v>556</v>
      </c>
      <c r="B28" s="1072" t="s">
        <v>658</v>
      </c>
      <c r="C28" s="1073">
        <f>SUM(C24:C25)</f>
        <v>0</v>
      </c>
      <c r="D28" s="1073">
        <f>SUM(D24:D26)</f>
        <v>32982</v>
      </c>
      <c r="E28" s="1074">
        <f>C28+D28</f>
        <v>32982</v>
      </c>
      <c r="F28" s="1075"/>
      <c r="G28" s="1075"/>
      <c r="H28" s="1075"/>
      <c r="I28" s="1075"/>
      <c r="J28" s="1076"/>
    </row>
    <row r="29" spans="1:10" s="15" customFormat="1" ht="22.5" customHeight="1" thickBot="1" x14ac:dyDescent="0.3">
      <c r="A29" s="707" t="s">
        <v>557</v>
      </c>
      <c r="B29" s="1085" t="s">
        <v>544</v>
      </c>
      <c r="C29" s="1074">
        <f>C21+C28</f>
        <v>238734</v>
      </c>
      <c r="D29" s="1074">
        <f>D21+D28</f>
        <v>176916</v>
      </c>
      <c r="E29" s="1074">
        <f>C29+D29</f>
        <v>415650</v>
      </c>
      <c r="F29" s="1075"/>
      <c r="G29" s="1075"/>
      <c r="H29" s="1075"/>
      <c r="I29" s="1075"/>
      <c r="J29" s="1076"/>
    </row>
    <row r="30" spans="1:10" ht="20.100000000000001" customHeight="1" x14ac:dyDescent="0.25">
      <c r="A30" s="698" t="s">
        <v>558</v>
      </c>
      <c r="B30" s="1081"/>
      <c r="C30" s="1082"/>
      <c r="D30" s="1082"/>
      <c r="E30" s="1083"/>
      <c r="F30" s="1084"/>
      <c r="G30" s="1084"/>
      <c r="H30" s="1084"/>
      <c r="I30" s="1084"/>
      <c r="J30" s="1084"/>
    </row>
    <row r="31" spans="1:10" ht="20.100000000000001" customHeight="1" x14ac:dyDescent="0.25">
      <c r="A31" s="698" t="s">
        <v>560</v>
      </c>
      <c r="B31" s="1062" t="s">
        <v>545</v>
      </c>
      <c r="C31" s="1054"/>
      <c r="D31" s="1054"/>
      <c r="E31" s="1058"/>
      <c r="F31" s="1049"/>
      <c r="G31" s="1049"/>
      <c r="H31" s="1049"/>
      <c r="I31" s="1049"/>
      <c r="J31" s="1049"/>
    </row>
    <row r="32" spans="1:10" ht="20.100000000000001" customHeight="1" x14ac:dyDescent="0.25">
      <c r="A32" s="698" t="s">
        <v>561</v>
      </c>
      <c r="B32" s="1059" t="s">
        <v>546</v>
      </c>
      <c r="C32" s="1054">
        <v>1063</v>
      </c>
      <c r="D32" s="1054">
        <v>1571</v>
      </c>
      <c r="E32" s="1054">
        <f>C32+D32</f>
        <v>2634</v>
      </c>
      <c r="F32" s="1049"/>
      <c r="G32" s="1049"/>
      <c r="H32" s="1049"/>
      <c r="I32" s="1049"/>
      <c r="J32" s="1049"/>
    </row>
    <row r="33" spans="1:15" ht="20.100000000000001" customHeight="1" x14ac:dyDescent="0.25">
      <c r="A33" s="698" t="s">
        <v>562</v>
      </c>
      <c r="B33" s="1061" t="s">
        <v>194</v>
      </c>
      <c r="C33" s="1054"/>
      <c r="D33" s="1054"/>
      <c r="E33" s="1054"/>
      <c r="F33" s="1049"/>
      <c r="G33" s="1049"/>
      <c r="H33" s="1049"/>
      <c r="I33" s="1049"/>
      <c r="J33" s="1049"/>
    </row>
    <row r="34" spans="1:15" ht="32.25" customHeight="1" x14ac:dyDescent="0.25">
      <c r="A34" s="698" t="s">
        <v>563</v>
      </c>
      <c r="B34" s="1050" t="s">
        <v>1228</v>
      </c>
      <c r="C34" s="1054">
        <v>1838</v>
      </c>
      <c r="D34" s="1054"/>
      <c r="E34" s="1054">
        <f>SUM(C34:D34)</f>
        <v>1838</v>
      </c>
      <c r="F34" s="1049"/>
      <c r="G34" s="1049"/>
      <c r="H34" s="1049"/>
      <c r="I34" s="1049"/>
      <c r="J34" s="1049"/>
    </row>
    <row r="35" spans="1:15" ht="32.25" customHeight="1" x14ac:dyDescent="0.25">
      <c r="A35" s="698" t="s">
        <v>564</v>
      </c>
      <c r="B35" s="1050" t="s">
        <v>1229</v>
      </c>
      <c r="C35" s="1054">
        <v>2223</v>
      </c>
      <c r="D35" s="1054"/>
      <c r="E35" s="1054">
        <f>SUM(C35:D35)</f>
        <v>2223</v>
      </c>
      <c r="F35" s="1049"/>
      <c r="G35" s="1049"/>
      <c r="H35" s="1049"/>
      <c r="I35" s="1049"/>
      <c r="J35" s="1049"/>
    </row>
    <row r="36" spans="1:15" ht="32.25" customHeight="1" thickBot="1" x14ac:dyDescent="0.3">
      <c r="A36" s="698"/>
      <c r="B36" s="1087"/>
      <c r="C36" s="1064"/>
      <c r="D36" s="1064"/>
      <c r="E36" s="1064"/>
      <c r="F36" s="1066"/>
      <c r="G36" s="1066"/>
      <c r="H36" s="1066"/>
      <c r="I36" s="1066"/>
      <c r="J36" s="1066"/>
    </row>
    <row r="37" spans="1:15" s="15" customFormat="1" ht="20.100000000000001" customHeight="1" thickBot="1" x14ac:dyDescent="0.3">
      <c r="A37" s="707" t="s">
        <v>565</v>
      </c>
      <c r="B37" s="1088" t="s">
        <v>547</v>
      </c>
      <c r="C37" s="1074">
        <f>C32+C34+C35</f>
        <v>5124</v>
      </c>
      <c r="D37" s="1074">
        <f t="shared" ref="D37:E37" si="1">D32+D34+D35</f>
        <v>1571</v>
      </c>
      <c r="E37" s="1074">
        <f t="shared" si="1"/>
        <v>6695</v>
      </c>
      <c r="F37" s="1075"/>
      <c r="G37" s="1075"/>
      <c r="H37" s="1075"/>
      <c r="I37" s="1075"/>
      <c r="J37" s="1076"/>
      <c r="O37" s="699"/>
    </row>
    <row r="38" spans="1:15" s="15" customFormat="1" ht="20.100000000000001" customHeight="1" thickBot="1" x14ac:dyDescent="0.3">
      <c r="A38" s="707" t="s">
        <v>566</v>
      </c>
      <c r="B38" s="1089" t="s">
        <v>314</v>
      </c>
      <c r="C38" s="1074">
        <f>C29+C37</f>
        <v>243858</v>
      </c>
      <c r="D38" s="1074">
        <f>D29+D37</f>
        <v>178487</v>
      </c>
      <c r="E38" s="1074">
        <f>E29+E37</f>
        <v>422345</v>
      </c>
      <c r="F38" s="1075"/>
      <c r="G38" s="1075"/>
      <c r="H38" s="1075"/>
      <c r="I38" s="1075"/>
      <c r="J38" s="1076"/>
      <c r="O38" s="699"/>
    </row>
    <row r="39" spans="1:15" s="15" customFormat="1" ht="20.100000000000001" customHeight="1" x14ac:dyDescent="0.25">
      <c r="A39" s="16"/>
      <c r="B39" s="26"/>
      <c r="C39" s="25"/>
      <c r="D39" s="255"/>
    </row>
    <row r="40" spans="1:15" ht="19.5" customHeight="1" x14ac:dyDescent="0.25">
      <c r="B40" s="27"/>
      <c r="C40" s="24"/>
    </row>
    <row r="41" spans="1:15" ht="15" customHeight="1" x14ac:dyDescent="0.25">
      <c r="B41" s="17"/>
      <c r="C41" s="24"/>
      <c r="H41" s="366"/>
    </row>
    <row r="42" spans="1:15" x14ac:dyDescent="0.25">
      <c r="B42" s="17"/>
      <c r="C42" s="24"/>
    </row>
    <row r="43" spans="1:15" x14ac:dyDescent="0.25">
      <c r="B43" s="17"/>
      <c r="C43" s="24"/>
    </row>
    <row r="44" spans="1:15" x14ac:dyDescent="0.25">
      <c r="B44" s="17"/>
      <c r="C44" s="24"/>
    </row>
  </sheetData>
  <sheetProtection selectLockedCells="1" selectUnlockedCells="1"/>
  <mergeCells count="12">
    <mergeCell ref="F10:G10"/>
    <mergeCell ref="H10:J10"/>
    <mergeCell ref="C9:J9"/>
    <mergeCell ref="B10:B11"/>
    <mergeCell ref="A2:E2"/>
    <mergeCell ref="A4:E4"/>
    <mergeCell ref="A5:E5"/>
    <mergeCell ref="A6:E6"/>
    <mergeCell ref="A8:E8"/>
    <mergeCell ref="B7:C7"/>
    <mergeCell ref="C10:E10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56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62"/>
  <sheetViews>
    <sheetView zoomScale="120" workbookViewId="0">
      <selection activeCell="U57" sqref="U57"/>
    </sheetView>
  </sheetViews>
  <sheetFormatPr defaultColWidth="9.140625" defaultRowHeight="11.25" x14ac:dyDescent="0.2"/>
  <cols>
    <col min="1" max="1" width="3.7109375" style="119" customWidth="1"/>
    <col min="2" max="2" width="37.28515625" style="119" customWidth="1"/>
    <col min="3" max="3" width="12" style="120" customWidth="1"/>
    <col min="4" max="4" width="11.140625" style="120" customWidth="1"/>
    <col min="5" max="5" width="11" style="120" customWidth="1"/>
    <col min="6" max="10" width="12.140625" style="120" customWidth="1"/>
    <col min="11" max="11" width="40.140625" style="120" customWidth="1"/>
    <col min="12" max="12" width="12.140625" style="120" customWidth="1"/>
    <col min="13" max="13" width="12" style="120" customWidth="1"/>
    <col min="14" max="14" width="12.140625" style="120" customWidth="1"/>
    <col min="15" max="15" width="12.140625" style="10" customWidth="1"/>
    <col min="16" max="16" width="12" style="10" customWidth="1"/>
    <col min="17" max="17" width="11.85546875" style="10" customWidth="1"/>
    <col min="18" max="18" width="12" style="10" customWidth="1"/>
    <col min="19" max="19" width="11.7109375" style="10" customWidth="1"/>
    <col min="20" max="16384" width="9.140625" style="10"/>
  </cols>
  <sheetData>
    <row r="1" spans="1:19" ht="12.75" customHeight="1" x14ac:dyDescent="0.2">
      <c r="A1" s="1214" t="s">
        <v>1311</v>
      </c>
      <c r="B1" s="1214"/>
      <c r="C1" s="1214"/>
      <c r="D1" s="1214"/>
      <c r="E1" s="1214"/>
      <c r="F1" s="1214"/>
      <c r="G1" s="1214"/>
      <c r="H1" s="1214"/>
      <c r="I1" s="1214"/>
      <c r="J1" s="1214"/>
      <c r="K1" s="1214"/>
      <c r="L1" s="1214"/>
      <c r="M1" s="1214"/>
      <c r="N1" s="1214"/>
      <c r="O1" s="1214"/>
      <c r="P1" s="1214"/>
      <c r="Q1" s="1214"/>
      <c r="R1" s="1214"/>
      <c r="S1" s="1214"/>
    </row>
    <row r="2" spans="1:19" x14ac:dyDescent="0.2">
      <c r="N2" s="121"/>
    </row>
    <row r="3" spans="1:19" s="99" customFormat="1" ht="12.75" customHeight="1" x14ac:dyDescent="0.2">
      <c r="A3" s="122"/>
      <c r="B3" s="1215" t="s">
        <v>78</v>
      </c>
      <c r="C3" s="1215"/>
      <c r="D3" s="1215"/>
      <c r="E3" s="1215"/>
      <c r="F3" s="1215"/>
      <c r="G3" s="1215"/>
      <c r="H3" s="1215"/>
      <c r="I3" s="1215"/>
      <c r="J3" s="1215"/>
      <c r="K3" s="1215"/>
      <c r="L3" s="1215"/>
      <c r="M3" s="1215"/>
      <c r="N3" s="1215"/>
      <c r="O3" s="1215"/>
      <c r="P3" s="1215"/>
      <c r="Q3" s="1215"/>
      <c r="R3" s="1215"/>
      <c r="S3" s="1215"/>
    </row>
    <row r="4" spans="1:19" s="99" customFormat="1" x14ac:dyDescent="0.2">
      <c r="A4" s="122"/>
      <c r="B4" s="1335" t="s">
        <v>1104</v>
      </c>
      <c r="C4" s="1335"/>
      <c r="D4" s="1335"/>
      <c r="E4" s="1335"/>
      <c r="F4" s="1335"/>
      <c r="G4" s="1335"/>
      <c r="H4" s="1335"/>
      <c r="I4" s="1335"/>
      <c r="J4" s="1335"/>
      <c r="K4" s="1335"/>
      <c r="L4" s="1335"/>
      <c r="M4" s="1335"/>
      <c r="N4" s="1335"/>
      <c r="O4" s="1335"/>
      <c r="P4" s="1335"/>
      <c r="Q4" s="1335"/>
      <c r="R4" s="1335"/>
      <c r="S4" s="1335"/>
    </row>
    <row r="5" spans="1:19" s="99" customFormat="1" ht="12.75" customHeight="1" x14ac:dyDescent="0.2">
      <c r="A5" s="1226" t="s">
        <v>311</v>
      </c>
      <c r="B5" s="1226"/>
      <c r="C5" s="1226"/>
      <c r="D5" s="1226"/>
      <c r="E5" s="1226"/>
      <c r="F5" s="1226"/>
      <c r="G5" s="1226"/>
      <c r="H5" s="1226"/>
      <c r="I5" s="1226"/>
      <c r="J5" s="1226"/>
      <c r="K5" s="1226"/>
      <c r="L5" s="1226"/>
      <c r="M5" s="1226"/>
      <c r="N5" s="1226"/>
      <c r="O5" s="1226"/>
      <c r="P5" s="1226"/>
      <c r="Q5" s="1226"/>
      <c r="R5" s="1226"/>
      <c r="S5" s="1226"/>
    </row>
    <row r="6" spans="1:19" s="99" customFormat="1" ht="12.75" customHeight="1" x14ac:dyDescent="0.2">
      <c r="A6" s="1545" t="s">
        <v>56</v>
      </c>
      <c r="B6" s="1218" t="s">
        <v>57</v>
      </c>
      <c r="C6" s="1221" t="s">
        <v>58</v>
      </c>
      <c r="D6" s="1221"/>
      <c r="E6" s="1221"/>
      <c r="F6" s="1221"/>
      <c r="G6" s="1221"/>
      <c r="H6" s="1221"/>
      <c r="I6" s="1221"/>
      <c r="J6" s="1221"/>
      <c r="K6" s="1560" t="s">
        <v>59</v>
      </c>
      <c r="L6" s="1227" t="s">
        <v>60</v>
      </c>
      <c r="M6" s="1227"/>
      <c r="N6" s="1227"/>
      <c r="O6" s="1227"/>
      <c r="P6" s="1227"/>
      <c r="Q6" s="1227"/>
      <c r="R6" s="1227"/>
      <c r="S6" s="1227"/>
    </row>
    <row r="7" spans="1:19" s="99" customFormat="1" ht="12.75" customHeight="1" x14ac:dyDescent="0.2">
      <c r="A7" s="1546"/>
      <c r="B7" s="1218"/>
      <c r="C7" s="1228" t="s">
        <v>1316</v>
      </c>
      <c r="D7" s="1228"/>
      <c r="E7" s="1229"/>
      <c r="F7" s="1220" t="s">
        <v>1293</v>
      </c>
      <c r="G7" s="1220"/>
      <c r="H7" s="1222" t="s">
        <v>1315</v>
      </c>
      <c r="I7" s="1223"/>
      <c r="J7" s="1224"/>
      <c r="K7" s="1336"/>
      <c r="L7" s="1228" t="s">
        <v>1316</v>
      </c>
      <c r="M7" s="1228"/>
      <c r="N7" s="1229"/>
      <c r="O7" s="1220" t="s">
        <v>1293</v>
      </c>
      <c r="P7" s="1220"/>
      <c r="Q7" s="1222" t="s">
        <v>1315</v>
      </c>
      <c r="R7" s="1223"/>
      <c r="S7" s="1537"/>
    </row>
    <row r="8" spans="1:19" s="100" customFormat="1" ht="36.6" customHeight="1" x14ac:dyDescent="0.2">
      <c r="A8" s="1547"/>
      <c r="B8" s="1211" t="s">
        <v>61</v>
      </c>
      <c r="C8" s="1532" t="s">
        <v>62</v>
      </c>
      <c r="D8" s="1532" t="s">
        <v>63</v>
      </c>
      <c r="E8" s="1533" t="s">
        <v>64</v>
      </c>
      <c r="F8" s="1534" t="s">
        <v>62</v>
      </c>
      <c r="G8" s="1534" t="s">
        <v>63</v>
      </c>
      <c r="H8" s="1532" t="s">
        <v>62</v>
      </c>
      <c r="I8" s="1532" t="s">
        <v>63</v>
      </c>
      <c r="J8" s="1535" t="s">
        <v>64</v>
      </c>
      <c r="K8" s="1588" t="s">
        <v>65</v>
      </c>
      <c r="L8" s="757" t="s">
        <v>62</v>
      </c>
      <c r="M8" s="757" t="s">
        <v>63</v>
      </c>
      <c r="N8" s="757" t="s">
        <v>64</v>
      </c>
      <c r="O8" s="757" t="s">
        <v>62</v>
      </c>
      <c r="P8" s="757" t="s">
        <v>63</v>
      </c>
      <c r="Q8" s="757" t="s">
        <v>62</v>
      </c>
      <c r="R8" s="757" t="s">
        <v>63</v>
      </c>
      <c r="S8" s="757" t="s">
        <v>64</v>
      </c>
    </row>
    <row r="9" spans="1:19" ht="11.45" customHeight="1" x14ac:dyDescent="0.2">
      <c r="A9" s="1544">
        <v>1</v>
      </c>
      <c r="B9" s="1488" t="s">
        <v>24</v>
      </c>
      <c r="C9" s="127"/>
      <c r="D9" s="127"/>
      <c r="E9" s="127"/>
      <c r="F9" s="127"/>
      <c r="G9" s="127"/>
      <c r="H9" s="127"/>
      <c r="I9" s="127"/>
      <c r="J9" s="1516"/>
      <c r="K9" s="1580" t="s">
        <v>25</v>
      </c>
      <c r="L9" s="127"/>
      <c r="M9" s="127"/>
      <c r="N9" s="125"/>
      <c r="O9" s="209"/>
      <c r="P9" s="209"/>
      <c r="Q9" s="209"/>
      <c r="R9" s="209"/>
      <c r="S9" s="1554"/>
    </row>
    <row r="10" spans="1:19" x14ac:dyDescent="0.2">
      <c r="A10" s="1544">
        <f t="shared" ref="A10:A55" si="0">A9+1</f>
        <v>2</v>
      </c>
      <c r="B10" s="124" t="s">
        <v>35</v>
      </c>
      <c r="C10" s="203"/>
      <c r="D10" s="203"/>
      <c r="E10" s="203">
        <f>SUM(C10:D10)</f>
        <v>0</v>
      </c>
      <c r="F10" s="203"/>
      <c r="G10" s="203"/>
      <c r="H10" s="203"/>
      <c r="I10" s="203"/>
      <c r="J10" s="349"/>
      <c r="K10" s="359" t="s">
        <v>223</v>
      </c>
      <c r="L10" s="203">
        <f>'műk. kiad. szakf Önkorm. '!D67</f>
        <v>62878</v>
      </c>
      <c r="M10" s="203">
        <f>'műk. kiad. szakf Önkorm. '!G67</f>
        <v>45615</v>
      </c>
      <c r="N10" s="1491">
        <f>SUM(L10:M10)</f>
        <v>108493</v>
      </c>
      <c r="O10" s="1506">
        <v>-4645</v>
      </c>
      <c r="P10" s="1506">
        <v>3549</v>
      </c>
      <c r="Q10" s="1506">
        <f>L10+O10</f>
        <v>58233</v>
      </c>
      <c r="R10" s="1506">
        <f>M10+P10</f>
        <v>49164</v>
      </c>
      <c r="S10" s="1530">
        <f>Q10+R10</f>
        <v>107397</v>
      </c>
    </row>
    <row r="11" spans="1:19" x14ac:dyDescent="0.2">
      <c r="A11" s="1544">
        <f t="shared" si="0"/>
        <v>3</v>
      </c>
      <c r="B11" s="124" t="s">
        <v>199</v>
      </c>
      <c r="C11" s="203">
        <f>'tám, végl. pe.átv  '!C11+'tám, végl. pe.átv  '!C17+'tám, végl. pe.átv  '!C18</f>
        <v>734518</v>
      </c>
      <c r="D11" s="203">
        <f>'tám, végl. pe.átv  '!D11+'tám, végl. pe.átv  '!D17+'tám, végl. pe.átv  '!D18</f>
        <v>93769</v>
      </c>
      <c r="E11" s="203">
        <f>'tám, végl. pe.átv  '!E11+'tám, végl. pe.átv  '!E17+'tám, végl. pe.átv  '!E18</f>
        <v>828287</v>
      </c>
      <c r="F11" s="203">
        <v>9392</v>
      </c>
      <c r="G11" s="203">
        <v>10244</v>
      </c>
      <c r="H11" s="203">
        <f>C11+F11</f>
        <v>743910</v>
      </c>
      <c r="I11" s="203">
        <f>D11+G11</f>
        <v>104013</v>
      </c>
      <c r="J11" s="349">
        <f>H11+I11</f>
        <v>847923</v>
      </c>
      <c r="K11" s="359" t="s">
        <v>224</v>
      </c>
      <c r="L11" s="203">
        <f>'műk. kiad. szakf Önkorm. '!J67</f>
        <v>18594</v>
      </c>
      <c r="M11" s="203">
        <f>'műk. kiad. szakf Önkorm. '!M67</f>
        <v>15901</v>
      </c>
      <c r="N11" s="1491">
        <f>SUM(L11:M11)</f>
        <v>34495</v>
      </c>
      <c r="O11" s="1506">
        <v>-1104</v>
      </c>
      <c r="P11" s="1506">
        <v>1120</v>
      </c>
      <c r="Q11" s="1506">
        <f t="shared" ref="Q11:Q24" si="1">L11+O11</f>
        <v>17490</v>
      </c>
      <c r="R11" s="1506">
        <f t="shared" ref="R11:R24" si="2">M11+P11</f>
        <v>17021</v>
      </c>
      <c r="S11" s="1530">
        <f t="shared" ref="S11:S24" si="3">Q11+R11</f>
        <v>34511</v>
      </c>
    </row>
    <row r="12" spans="1:19" x14ac:dyDescent="0.2">
      <c r="A12" s="1544">
        <f t="shared" si="0"/>
        <v>4</v>
      </c>
      <c r="B12" s="124" t="s">
        <v>196</v>
      </c>
      <c r="C12" s="203"/>
      <c r="D12" s="203">
        <v>0</v>
      </c>
      <c r="E12" s="203">
        <f>C12+D12</f>
        <v>0</v>
      </c>
      <c r="F12" s="203"/>
      <c r="G12" s="203"/>
      <c r="H12" s="203">
        <f t="shared" ref="H12:H30" si="4">C12+F12</f>
        <v>0</v>
      </c>
      <c r="I12" s="203">
        <f t="shared" ref="I12:I30" si="5">D12+G12</f>
        <v>0</v>
      </c>
      <c r="J12" s="349">
        <f t="shared" ref="J12:J30" si="6">H12+I12</f>
        <v>0</v>
      </c>
      <c r="K12" s="359" t="s">
        <v>225</v>
      </c>
      <c r="L12" s="203">
        <f>'műk. kiad. szakf Önkorm. '!P67</f>
        <v>280679</v>
      </c>
      <c r="M12" s="203">
        <f>'műk. kiad. szakf Önkorm. '!S67</f>
        <v>239455</v>
      </c>
      <c r="N12" s="1491">
        <f>SUM(L12:M12)</f>
        <v>520134</v>
      </c>
      <c r="O12" s="1506">
        <v>173149</v>
      </c>
      <c r="P12" s="1506">
        <v>37318</v>
      </c>
      <c r="Q12" s="1506">
        <f t="shared" si="1"/>
        <v>453828</v>
      </c>
      <c r="R12" s="1506">
        <f t="shared" si="2"/>
        <v>276773</v>
      </c>
      <c r="S12" s="1530">
        <f t="shared" si="3"/>
        <v>730601</v>
      </c>
    </row>
    <row r="13" spans="1:19" ht="12" customHeight="1" x14ac:dyDescent="0.2">
      <c r="A13" s="1544">
        <f t="shared" si="0"/>
        <v>5</v>
      </c>
      <c r="B13" s="1489" t="s">
        <v>200</v>
      </c>
      <c r="C13" s="203">
        <f>'tám, végl. pe.átv  '!C39</f>
        <v>9743</v>
      </c>
      <c r="D13" s="203">
        <f>'tám, végl. pe.átv  '!D39</f>
        <v>4918</v>
      </c>
      <c r="E13" s="203">
        <f>'tám, végl. pe.átv  '!E39</f>
        <v>14661</v>
      </c>
      <c r="F13" s="203">
        <v>9048</v>
      </c>
      <c r="G13" s="203">
        <v>2460</v>
      </c>
      <c r="H13" s="203">
        <f t="shared" si="4"/>
        <v>18791</v>
      </c>
      <c r="I13" s="203">
        <f t="shared" si="5"/>
        <v>7378</v>
      </c>
      <c r="J13" s="349">
        <f t="shared" si="6"/>
        <v>26169</v>
      </c>
      <c r="K13" s="359"/>
      <c r="L13" s="203"/>
      <c r="M13" s="203"/>
      <c r="N13" s="1491"/>
      <c r="O13" s="1506"/>
      <c r="P13" s="1506"/>
      <c r="Q13" s="1506"/>
      <c r="R13" s="1506"/>
      <c r="S13" s="1530"/>
    </row>
    <row r="14" spans="1:19" x14ac:dyDescent="0.2">
      <c r="A14" s="1544">
        <f>A13+1</f>
        <v>6</v>
      </c>
      <c r="B14" s="124" t="s">
        <v>1279</v>
      </c>
      <c r="C14" s="203">
        <f>'felh. bev.  '!D29</f>
        <v>0</v>
      </c>
      <c r="D14" s="203">
        <f>'felh. bev.  '!E29</f>
        <v>93253</v>
      </c>
      <c r="E14" s="203">
        <f>SUM(C14:D14)</f>
        <v>93253</v>
      </c>
      <c r="F14" s="203"/>
      <c r="G14" s="203"/>
      <c r="H14" s="203">
        <f t="shared" si="4"/>
        <v>0</v>
      </c>
      <c r="I14" s="203">
        <f t="shared" si="5"/>
        <v>93253</v>
      </c>
      <c r="J14" s="349">
        <f t="shared" si="6"/>
        <v>93253</v>
      </c>
      <c r="K14" s="359" t="s">
        <v>226</v>
      </c>
      <c r="L14" s="1506">
        <f>'műk. kiad. szakf Önkorm. '!AF67</f>
        <v>2800</v>
      </c>
      <c r="M14" s="1506">
        <f>'ellátottak önk.'!F32</f>
        <v>10950</v>
      </c>
      <c r="N14" s="1491">
        <f>SUM(L14:M14)</f>
        <v>13750</v>
      </c>
      <c r="O14" s="1506">
        <v>-111</v>
      </c>
      <c r="P14" s="1506"/>
      <c r="Q14" s="1506">
        <f t="shared" si="1"/>
        <v>2689</v>
      </c>
      <c r="R14" s="1506">
        <f t="shared" si="2"/>
        <v>10950</v>
      </c>
      <c r="S14" s="1530">
        <f t="shared" si="3"/>
        <v>13639</v>
      </c>
    </row>
    <row r="15" spans="1:19" x14ac:dyDescent="0.2">
      <c r="A15" s="1544">
        <f t="shared" ref="A15:A26" si="7">A14+1</f>
        <v>7</v>
      </c>
      <c r="B15" s="124" t="s">
        <v>1277</v>
      </c>
      <c r="C15" s="203">
        <f>'felh. bev.  '!D24</f>
        <v>8750</v>
      </c>
      <c r="D15" s="203"/>
      <c r="E15" s="203">
        <f t="shared" ref="E15:E16" si="8">SUM(C15:D15)</f>
        <v>8750</v>
      </c>
      <c r="F15" s="203"/>
      <c r="G15" s="203"/>
      <c r="H15" s="203">
        <f t="shared" si="4"/>
        <v>8750</v>
      </c>
      <c r="I15" s="203">
        <f t="shared" si="5"/>
        <v>0</v>
      </c>
      <c r="J15" s="349">
        <f t="shared" si="6"/>
        <v>8750</v>
      </c>
      <c r="K15" s="359"/>
      <c r="L15" s="1506"/>
      <c r="M15" s="1506"/>
      <c r="N15" s="1491"/>
      <c r="O15" s="1506"/>
      <c r="P15" s="1506"/>
      <c r="Q15" s="1506"/>
      <c r="R15" s="1506"/>
      <c r="S15" s="1530"/>
    </row>
    <row r="16" spans="1:19" x14ac:dyDescent="0.2">
      <c r="A16" s="1544">
        <f t="shared" si="7"/>
        <v>8</v>
      </c>
      <c r="B16" s="1490" t="s">
        <v>1278</v>
      </c>
      <c r="C16" s="203"/>
      <c r="D16" s="203">
        <v>93253</v>
      </c>
      <c r="E16" s="203">
        <f t="shared" si="8"/>
        <v>93253</v>
      </c>
      <c r="F16" s="203"/>
      <c r="G16" s="203"/>
      <c r="H16" s="203">
        <f t="shared" si="4"/>
        <v>0</v>
      </c>
      <c r="I16" s="203">
        <f t="shared" si="5"/>
        <v>93253</v>
      </c>
      <c r="J16" s="349">
        <f t="shared" si="6"/>
        <v>93253</v>
      </c>
      <c r="K16" s="359" t="s">
        <v>227</v>
      </c>
      <c r="L16" s="1506"/>
      <c r="M16" s="1506"/>
      <c r="N16" s="1491"/>
      <c r="O16" s="1506"/>
      <c r="P16" s="1506"/>
      <c r="Q16" s="1506"/>
      <c r="R16" s="1506"/>
      <c r="S16" s="1530"/>
    </row>
    <row r="17" spans="1:19" x14ac:dyDescent="0.2">
      <c r="A17" s="1544">
        <f t="shared" si="7"/>
        <v>9</v>
      </c>
      <c r="B17" s="124" t="s">
        <v>201</v>
      </c>
      <c r="C17" s="203">
        <f>'közhatalmi bevételek'!D31</f>
        <v>488486</v>
      </c>
      <c r="D17" s="203">
        <f>'közhatalmi bevételek'!E31</f>
        <v>746918</v>
      </c>
      <c r="E17" s="203">
        <f>'közhatalmi bevételek'!F31</f>
        <v>1235404</v>
      </c>
      <c r="F17" s="203">
        <v>11558</v>
      </c>
      <c r="G17" s="203">
        <v>-11558</v>
      </c>
      <c r="H17" s="203">
        <f t="shared" si="4"/>
        <v>500044</v>
      </c>
      <c r="I17" s="203">
        <f t="shared" si="5"/>
        <v>735360</v>
      </c>
      <c r="J17" s="349">
        <f t="shared" si="6"/>
        <v>1235404</v>
      </c>
      <c r="K17" s="359" t="s">
        <v>228</v>
      </c>
      <c r="L17" s="1506">
        <f>mc.pe.átad!D23</f>
        <v>5750</v>
      </c>
      <c r="M17" s="1506">
        <f>mc.pe.átad!E23</f>
        <v>64147</v>
      </c>
      <c r="N17" s="1506">
        <f>mc.pe.átad!F23</f>
        <v>69897</v>
      </c>
      <c r="O17" s="1506">
        <v>26557</v>
      </c>
      <c r="P17" s="1506">
        <v>1653</v>
      </c>
      <c r="Q17" s="1506">
        <f t="shared" si="1"/>
        <v>32307</v>
      </c>
      <c r="R17" s="1506">
        <f t="shared" si="2"/>
        <v>65800</v>
      </c>
      <c r="S17" s="1530">
        <f t="shared" si="3"/>
        <v>98107</v>
      </c>
    </row>
    <row r="18" spans="1:19" x14ac:dyDescent="0.2">
      <c r="A18" s="1544">
        <f t="shared" si="7"/>
        <v>10</v>
      </c>
      <c r="B18" s="126" t="s">
        <v>40</v>
      </c>
      <c r="C18" s="1491"/>
      <c r="D18" s="1491"/>
      <c r="E18" s="1491"/>
      <c r="F18" s="1491"/>
      <c r="G18" s="1491"/>
      <c r="H18" s="203">
        <f t="shared" si="4"/>
        <v>0</v>
      </c>
      <c r="I18" s="203">
        <f t="shared" si="5"/>
        <v>0</v>
      </c>
      <c r="J18" s="349">
        <f t="shared" si="6"/>
        <v>0</v>
      </c>
      <c r="K18" s="359" t="s">
        <v>229</v>
      </c>
      <c r="L18" s="1506">
        <f>mc.pe.átad!D59</f>
        <v>151335</v>
      </c>
      <c r="M18" s="1506">
        <f>mc.pe.átad!E59</f>
        <v>170783</v>
      </c>
      <c r="N18" s="1506">
        <f>mc.pe.átad!F59</f>
        <v>322118</v>
      </c>
      <c r="O18" s="1506">
        <v>10839</v>
      </c>
      <c r="P18" s="1506">
        <v>7005</v>
      </c>
      <c r="Q18" s="1506">
        <f t="shared" si="1"/>
        <v>162174</v>
      </c>
      <c r="R18" s="1506">
        <f t="shared" si="2"/>
        <v>177788</v>
      </c>
      <c r="S18" s="1530">
        <f t="shared" si="3"/>
        <v>339962</v>
      </c>
    </row>
    <row r="19" spans="1:19" x14ac:dyDescent="0.2">
      <c r="A19" s="1544">
        <f t="shared" si="7"/>
        <v>11</v>
      </c>
      <c r="B19" s="126"/>
      <c r="C19" s="1491"/>
      <c r="D19" s="1491"/>
      <c r="E19" s="1491"/>
      <c r="F19" s="1491"/>
      <c r="G19" s="1491"/>
      <c r="H19" s="203">
        <f t="shared" si="4"/>
        <v>0</v>
      </c>
      <c r="I19" s="203">
        <f t="shared" si="5"/>
        <v>0</v>
      </c>
      <c r="J19" s="349">
        <f t="shared" si="6"/>
        <v>0</v>
      </c>
      <c r="K19" s="359" t="s">
        <v>276</v>
      </c>
      <c r="L19" s="1506">
        <f>'műk. kiad. szakf Önkorm. '!AD67</f>
        <v>451</v>
      </c>
      <c r="M19" s="1506">
        <f>'műk. kiad. szakf Önkorm. '!AE67</f>
        <v>0</v>
      </c>
      <c r="N19" s="1506">
        <f>L19+M19</f>
        <v>451</v>
      </c>
      <c r="O19" s="1506"/>
      <c r="P19" s="1506"/>
      <c r="Q19" s="1506">
        <f t="shared" si="1"/>
        <v>451</v>
      </c>
      <c r="R19" s="1506">
        <f t="shared" si="2"/>
        <v>0</v>
      </c>
      <c r="S19" s="1530">
        <f t="shared" si="3"/>
        <v>451</v>
      </c>
    </row>
    <row r="20" spans="1:19" x14ac:dyDescent="0.2">
      <c r="A20" s="1544">
        <f t="shared" si="7"/>
        <v>12</v>
      </c>
      <c r="B20" s="124" t="s">
        <v>202</v>
      </c>
      <c r="C20" s="1491">
        <v>40442</v>
      </c>
      <c r="D20" s="1491">
        <v>102571</v>
      </c>
      <c r="E20" s="1491">
        <f>SUM(C20:D20)</f>
        <v>143013</v>
      </c>
      <c r="F20" s="1491">
        <v>5489</v>
      </c>
      <c r="G20" s="1491">
        <v>638</v>
      </c>
      <c r="H20" s="203">
        <f t="shared" si="4"/>
        <v>45931</v>
      </c>
      <c r="I20" s="203">
        <f t="shared" si="5"/>
        <v>103209</v>
      </c>
      <c r="J20" s="349">
        <f t="shared" si="6"/>
        <v>149140</v>
      </c>
      <c r="K20" s="359" t="s">
        <v>231</v>
      </c>
      <c r="L20" s="1506">
        <f>tartalék!C28</f>
        <v>0</v>
      </c>
      <c r="M20" s="1506">
        <f>tartalék!D28</f>
        <v>32982</v>
      </c>
      <c r="N20" s="1522">
        <f>SUM(L20:M20)</f>
        <v>32982</v>
      </c>
      <c r="O20" s="1506"/>
      <c r="P20" s="1506">
        <v>-339</v>
      </c>
      <c r="Q20" s="1506">
        <f t="shared" si="1"/>
        <v>0</v>
      </c>
      <c r="R20" s="1506">
        <f t="shared" si="2"/>
        <v>32643</v>
      </c>
      <c r="S20" s="1530">
        <f t="shared" si="3"/>
        <v>32643</v>
      </c>
    </row>
    <row r="21" spans="1:19" x14ac:dyDescent="0.2">
      <c r="A21" s="1544">
        <f t="shared" si="7"/>
        <v>13</v>
      </c>
      <c r="B21" s="1492"/>
      <c r="C21" s="1491"/>
      <c r="D21" s="1491"/>
      <c r="E21" s="1491"/>
      <c r="F21" s="1491"/>
      <c r="G21" s="1491"/>
      <c r="H21" s="203">
        <f t="shared" si="4"/>
        <v>0</v>
      </c>
      <c r="I21" s="203">
        <f t="shared" si="5"/>
        <v>0</v>
      </c>
      <c r="J21" s="349">
        <f t="shared" si="6"/>
        <v>0</v>
      </c>
      <c r="K21" s="359" t="s">
        <v>277</v>
      </c>
      <c r="L21" s="1506">
        <f>tartalék!C37</f>
        <v>5124</v>
      </c>
      <c r="M21" s="1506">
        <f>tartalék!D37</f>
        <v>1571</v>
      </c>
      <c r="N21" s="1506">
        <f>tartalék!E37</f>
        <v>6695</v>
      </c>
      <c r="O21" s="1506">
        <v>-2128</v>
      </c>
      <c r="P21" s="1506">
        <v>3685</v>
      </c>
      <c r="Q21" s="1506">
        <f t="shared" si="1"/>
        <v>2996</v>
      </c>
      <c r="R21" s="1506">
        <f t="shared" si="2"/>
        <v>5256</v>
      </c>
      <c r="S21" s="1530">
        <f t="shared" si="3"/>
        <v>8252</v>
      </c>
    </row>
    <row r="22" spans="1:19" s="101" customFormat="1" x14ac:dyDescent="0.2">
      <c r="A22" s="1544">
        <f t="shared" si="7"/>
        <v>14</v>
      </c>
      <c r="B22" s="1492" t="s">
        <v>42</v>
      </c>
      <c r="C22" s="1491"/>
      <c r="D22" s="1491"/>
      <c r="E22" s="1491"/>
      <c r="F22" s="1491"/>
      <c r="G22" s="1491"/>
      <c r="H22" s="203">
        <f t="shared" si="4"/>
        <v>0</v>
      </c>
      <c r="I22" s="203">
        <f t="shared" si="5"/>
        <v>0</v>
      </c>
      <c r="J22" s="349">
        <f t="shared" si="6"/>
        <v>0</v>
      </c>
      <c r="K22" s="1602"/>
      <c r="L22" s="1506"/>
      <c r="M22" s="1506"/>
      <c r="N22" s="1506"/>
      <c r="O22" s="1523"/>
      <c r="P22" s="1523"/>
      <c r="Q22" s="1506"/>
      <c r="R22" s="1506"/>
      <c r="S22" s="1530"/>
    </row>
    <row r="23" spans="1:19" s="101" customFormat="1" x14ac:dyDescent="0.2">
      <c r="A23" s="1544">
        <f t="shared" si="7"/>
        <v>15</v>
      </c>
      <c r="B23" s="1492" t="s">
        <v>203</v>
      </c>
      <c r="C23" s="1491"/>
      <c r="D23" s="1491"/>
      <c r="E23" s="1491"/>
      <c r="F23" s="1491"/>
      <c r="G23" s="1491"/>
      <c r="H23" s="203">
        <f t="shared" si="4"/>
        <v>0</v>
      </c>
      <c r="I23" s="203">
        <f t="shared" si="5"/>
        <v>0</v>
      </c>
      <c r="J23" s="349">
        <f t="shared" si="6"/>
        <v>0</v>
      </c>
      <c r="K23" s="1602"/>
      <c r="L23" s="1506"/>
      <c r="M23" s="1506"/>
      <c r="N23" s="1506"/>
      <c r="O23" s="1523"/>
      <c r="P23" s="1523"/>
      <c r="Q23" s="1506"/>
      <c r="R23" s="1506"/>
      <c r="S23" s="1530"/>
    </row>
    <row r="24" spans="1:19" x14ac:dyDescent="0.2">
      <c r="A24" s="1544">
        <f t="shared" si="7"/>
        <v>16</v>
      </c>
      <c r="B24" s="124" t="s">
        <v>206</v>
      </c>
      <c r="C24" s="1493"/>
      <c r="D24" s="203">
        <f>'felh. bev.  '!E12</f>
        <v>203461</v>
      </c>
      <c r="E24" s="1491">
        <f>SUM(C24:D24)</f>
        <v>203461</v>
      </c>
      <c r="F24" s="1491">
        <v>1070</v>
      </c>
      <c r="G24" s="1491">
        <v>477</v>
      </c>
      <c r="H24" s="203">
        <f t="shared" si="4"/>
        <v>1070</v>
      </c>
      <c r="I24" s="203">
        <f t="shared" si="5"/>
        <v>203938</v>
      </c>
      <c r="J24" s="349">
        <f t="shared" si="6"/>
        <v>205008</v>
      </c>
      <c r="K24" s="1603" t="s">
        <v>66</v>
      </c>
      <c r="L24" s="1509">
        <f t="shared" ref="L24:P24" si="9">SUM(L10:L22)</f>
        <v>527611</v>
      </c>
      <c r="M24" s="1509">
        <f t="shared" si="9"/>
        <v>581404</v>
      </c>
      <c r="N24" s="1509">
        <f t="shared" si="9"/>
        <v>1109015</v>
      </c>
      <c r="O24" s="1509">
        <f t="shared" si="9"/>
        <v>202557</v>
      </c>
      <c r="P24" s="1509">
        <f t="shared" si="9"/>
        <v>53991</v>
      </c>
      <c r="Q24" s="1506">
        <f t="shared" si="1"/>
        <v>730168</v>
      </c>
      <c r="R24" s="1506">
        <f t="shared" si="2"/>
        <v>635395</v>
      </c>
      <c r="S24" s="1530">
        <f t="shared" si="3"/>
        <v>1365563</v>
      </c>
    </row>
    <row r="25" spans="1:19" x14ac:dyDescent="0.2">
      <c r="A25" s="1544">
        <f t="shared" si="7"/>
        <v>17</v>
      </c>
      <c r="B25" s="124" t="s">
        <v>207</v>
      </c>
      <c r="C25" s="1491">
        <f>'felh. bev.  '!D13+'felh. bev.  '!D14</f>
        <v>0</v>
      </c>
      <c r="D25" s="1491">
        <f>'felh. bev.  '!E13+'felh. bev.  '!E14</f>
        <v>4136</v>
      </c>
      <c r="E25" s="1491">
        <f>SUM(C25:D25)</f>
        <v>4136</v>
      </c>
      <c r="F25" s="1491"/>
      <c r="G25" s="1491"/>
      <c r="H25" s="203">
        <f t="shared" si="4"/>
        <v>0</v>
      </c>
      <c r="I25" s="203">
        <f t="shared" si="5"/>
        <v>4136</v>
      </c>
      <c r="J25" s="349">
        <f t="shared" si="6"/>
        <v>4136</v>
      </c>
      <c r="K25" s="1602"/>
      <c r="L25" s="1506"/>
      <c r="M25" s="1506"/>
      <c r="N25" s="1506"/>
      <c r="O25" s="1506"/>
      <c r="P25" s="1506"/>
      <c r="Q25" s="209"/>
      <c r="R25" s="209"/>
      <c r="S25" s="1554"/>
    </row>
    <row r="26" spans="1:19" x14ac:dyDescent="0.2">
      <c r="A26" s="1544">
        <f t="shared" si="7"/>
        <v>18</v>
      </c>
      <c r="B26" s="124" t="s">
        <v>208</v>
      </c>
      <c r="C26" s="203">
        <f>'felh. bev.  '!D20</f>
        <v>0</v>
      </c>
      <c r="D26" s="203">
        <f>'felh. bev.  '!E20</f>
        <v>0</v>
      </c>
      <c r="E26" s="203">
        <f>'felh. bev.  '!F20</f>
        <v>0</v>
      </c>
      <c r="F26" s="203"/>
      <c r="G26" s="203">
        <v>60</v>
      </c>
      <c r="H26" s="203">
        <f t="shared" si="4"/>
        <v>0</v>
      </c>
      <c r="I26" s="203">
        <f t="shared" si="5"/>
        <v>60</v>
      </c>
      <c r="J26" s="349">
        <f t="shared" si="6"/>
        <v>60</v>
      </c>
      <c r="K26" s="1604" t="s">
        <v>34</v>
      </c>
      <c r="L26" s="1510"/>
      <c r="M26" s="1510"/>
      <c r="N26" s="1506"/>
      <c r="O26" s="1506"/>
      <c r="P26" s="1506"/>
      <c r="Q26" s="209"/>
      <c r="R26" s="209"/>
      <c r="S26" s="1554"/>
    </row>
    <row r="27" spans="1:19" x14ac:dyDescent="0.2">
      <c r="A27" s="1544">
        <f t="shared" si="0"/>
        <v>19</v>
      </c>
      <c r="B27" s="124" t="s">
        <v>209</v>
      </c>
      <c r="C27" s="203"/>
      <c r="D27" s="203"/>
      <c r="E27" s="203"/>
      <c r="F27" s="203"/>
      <c r="G27" s="203"/>
      <c r="H27" s="203">
        <f t="shared" si="4"/>
        <v>0</v>
      </c>
      <c r="I27" s="203">
        <f t="shared" si="5"/>
        <v>0</v>
      </c>
      <c r="J27" s="349">
        <f t="shared" si="6"/>
        <v>0</v>
      </c>
      <c r="K27" s="359" t="s">
        <v>278</v>
      </c>
      <c r="L27" s="1506">
        <f>'felhalm. kiad.  '!M20+'felhalm. kiad.  '!M58+'felhalm. kiad.  '!M70+'felhalm. kiad.  '!M84</f>
        <v>2077819</v>
      </c>
      <c r="M27" s="1506">
        <f>'felhalm. kiad.  '!P20+'felhalm. kiad.  '!P58+'felhalm. kiad.  '!P70+'felhalm. kiad.  '!P75+'felhalm. kiad.  '!P84+'felhalm. kiad.  '!P150</f>
        <v>142768</v>
      </c>
      <c r="N27" s="1506">
        <f>SUM(L27:M27)</f>
        <v>2220587</v>
      </c>
      <c r="O27" s="1506">
        <v>-424158</v>
      </c>
      <c r="P27" s="1506">
        <v>-20700</v>
      </c>
      <c r="Q27" s="1506">
        <f>L27+O27</f>
        <v>1653661</v>
      </c>
      <c r="R27" s="1506">
        <f>M27+P27</f>
        <v>122068</v>
      </c>
      <c r="S27" s="1530">
        <f>Q27+R27</f>
        <v>1775729</v>
      </c>
    </row>
    <row r="28" spans="1:19" x14ac:dyDescent="0.2">
      <c r="A28" s="1544">
        <f t="shared" si="0"/>
        <v>20</v>
      </c>
      <c r="B28" s="124"/>
      <c r="C28" s="203"/>
      <c r="D28" s="203"/>
      <c r="E28" s="203"/>
      <c r="F28" s="203"/>
      <c r="G28" s="203"/>
      <c r="H28" s="203">
        <f t="shared" si="4"/>
        <v>0</v>
      </c>
      <c r="I28" s="203">
        <f t="shared" si="5"/>
        <v>0</v>
      </c>
      <c r="J28" s="349">
        <f t="shared" si="6"/>
        <v>0</v>
      </c>
      <c r="K28" s="359" t="s">
        <v>235</v>
      </c>
      <c r="L28" s="1506">
        <f>'felhalm. kiad.  '!M27</f>
        <v>10448</v>
      </c>
      <c r="M28" s="1506">
        <f>'felhalm. kiad.  '!P27</f>
        <v>0</v>
      </c>
      <c r="N28" s="1506">
        <f>SUM(L28:M28)</f>
        <v>10448</v>
      </c>
      <c r="O28" s="1506">
        <v>502</v>
      </c>
      <c r="P28" s="1506"/>
      <c r="Q28" s="1506">
        <f t="shared" ref="Q28:Q33" si="10">L28+O28</f>
        <v>10950</v>
      </c>
      <c r="R28" s="1506">
        <f t="shared" ref="R28:R33" si="11">M28+P28</f>
        <v>0</v>
      </c>
      <c r="S28" s="1530">
        <f t="shared" ref="S28:S33" si="12">Q28+R28</f>
        <v>10950</v>
      </c>
    </row>
    <row r="29" spans="1:19" x14ac:dyDescent="0.2">
      <c r="A29" s="1544">
        <f t="shared" si="0"/>
        <v>21</v>
      </c>
      <c r="B29" s="1492" t="s">
        <v>210</v>
      </c>
      <c r="C29" s="203">
        <f>'tám, végl. pe.átv  '!C49</f>
        <v>0</v>
      </c>
      <c r="D29" s="203">
        <f>'tám, végl. pe.átv  '!D49</f>
        <v>62024</v>
      </c>
      <c r="E29" s="203">
        <f>'tám, végl. pe.átv  '!E49</f>
        <v>62024</v>
      </c>
      <c r="F29" s="203">
        <v>1</v>
      </c>
      <c r="G29" s="203">
        <v>6741</v>
      </c>
      <c r="H29" s="203">
        <f t="shared" si="4"/>
        <v>1</v>
      </c>
      <c r="I29" s="203">
        <f t="shared" si="5"/>
        <v>68765</v>
      </c>
      <c r="J29" s="349">
        <f t="shared" si="6"/>
        <v>68766</v>
      </c>
      <c r="K29" s="359" t="s">
        <v>236</v>
      </c>
      <c r="L29" s="1506"/>
      <c r="M29" s="1506"/>
      <c r="N29" s="1506">
        <f>SUM(L29:M29)</f>
        <v>0</v>
      </c>
      <c r="O29" s="1506"/>
      <c r="P29" s="1506"/>
      <c r="Q29" s="1506">
        <f t="shared" si="10"/>
        <v>0</v>
      </c>
      <c r="R29" s="1506">
        <f t="shared" si="11"/>
        <v>0</v>
      </c>
      <c r="S29" s="1530">
        <f t="shared" si="12"/>
        <v>0</v>
      </c>
    </row>
    <row r="30" spans="1:19" s="101" customFormat="1" x14ac:dyDescent="0.2">
      <c r="A30" s="1544">
        <f t="shared" si="0"/>
        <v>22</v>
      </c>
      <c r="B30" s="1492" t="s">
        <v>275</v>
      </c>
      <c r="C30" s="203">
        <f>'felh. bev.  '!D33+'felh. bev.  '!D37</f>
        <v>0</v>
      </c>
      <c r="D30" s="203">
        <f>'felh. bev.  '!E33+'felh. bev.  '!E37</f>
        <v>2870</v>
      </c>
      <c r="E30" s="203">
        <f>'felh. bev.  '!F33+'felh. bev.  '!F37</f>
        <v>2870</v>
      </c>
      <c r="F30" s="203"/>
      <c r="G30" s="203">
        <v>2545</v>
      </c>
      <c r="H30" s="203">
        <f t="shared" si="4"/>
        <v>0</v>
      </c>
      <c r="I30" s="203">
        <f t="shared" si="5"/>
        <v>5415</v>
      </c>
      <c r="J30" s="349">
        <f t="shared" si="6"/>
        <v>5415</v>
      </c>
      <c r="K30" s="359" t="s">
        <v>237</v>
      </c>
      <c r="L30" s="1506">
        <f>'felhalm. kiad.  '!M91</f>
        <v>0</v>
      </c>
      <c r="M30" s="1506">
        <f>'felhalm. kiad.  '!P91</f>
        <v>3238</v>
      </c>
      <c r="N30" s="1506">
        <f>SUM(L30:M30)</f>
        <v>3238</v>
      </c>
      <c r="O30" s="1506">
        <v>425451</v>
      </c>
      <c r="P30" s="1523"/>
      <c r="Q30" s="1506">
        <f t="shared" si="10"/>
        <v>425451</v>
      </c>
      <c r="R30" s="1506">
        <f t="shared" si="11"/>
        <v>3238</v>
      </c>
      <c r="S30" s="1530">
        <f t="shared" si="12"/>
        <v>428689</v>
      </c>
    </row>
    <row r="31" spans="1:19" s="101" customFormat="1" x14ac:dyDescent="0.2">
      <c r="A31" s="1544"/>
      <c r="B31" s="1492"/>
      <c r="C31" s="203"/>
      <c r="D31" s="203"/>
      <c r="E31" s="203"/>
      <c r="F31" s="203"/>
      <c r="G31" s="203"/>
      <c r="H31" s="203"/>
      <c r="I31" s="203"/>
      <c r="J31" s="349"/>
      <c r="K31" s="359" t="s">
        <v>1314</v>
      </c>
      <c r="L31" s="1506"/>
      <c r="M31" s="1506"/>
      <c r="N31" s="1506"/>
      <c r="O31" s="1523"/>
      <c r="P31" s="1506">
        <v>6000</v>
      </c>
      <c r="Q31" s="1506">
        <f t="shared" si="10"/>
        <v>0</v>
      </c>
      <c r="R31" s="1506">
        <f t="shared" si="11"/>
        <v>6000</v>
      </c>
      <c r="S31" s="1530">
        <f t="shared" si="12"/>
        <v>6000</v>
      </c>
    </row>
    <row r="32" spans="1:19" x14ac:dyDescent="0.2">
      <c r="A32" s="1544">
        <f>A30+1</f>
        <v>23</v>
      </c>
      <c r="B32" s="1492"/>
      <c r="C32" s="203"/>
      <c r="D32" s="203"/>
      <c r="E32" s="203"/>
      <c r="F32" s="203"/>
      <c r="G32" s="203"/>
      <c r="H32" s="203"/>
      <c r="I32" s="203"/>
      <c r="J32" s="349"/>
      <c r="K32" s="359" t="s">
        <v>1312</v>
      </c>
      <c r="L32" s="1506">
        <f>'felhalm. kiad.  '!M102+'felhalm. kiad.  '!M108</f>
        <v>48852</v>
      </c>
      <c r="M32" s="1506">
        <f>'felhalm. kiad.  '!P102+'felhalm. kiad.  '!P108</f>
        <v>35520</v>
      </c>
      <c r="N32" s="1506">
        <f>SUM(L32:M32)</f>
        <v>84372</v>
      </c>
      <c r="O32" s="1506">
        <v>88</v>
      </c>
      <c r="P32" s="1506">
        <v>-3000</v>
      </c>
      <c r="Q32" s="1506">
        <f t="shared" si="10"/>
        <v>48940</v>
      </c>
      <c r="R32" s="1506">
        <f t="shared" si="11"/>
        <v>32520</v>
      </c>
      <c r="S32" s="1530">
        <f t="shared" si="12"/>
        <v>81460</v>
      </c>
    </row>
    <row r="33" spans="1:19" s="11" customFormat="1" x14ac:dyDescent="0.2">
      <c r="A33" s="1544">
        <f t="shared" si="0"/>
        <v>24</v>
      </c>
      <c r="B33" s="1495" t="s">
        <v>52</v>
      </c>
      <c r="C33" s="1524">
        <f>C12+C20+C11+C17+C13</f>
        <v>1273189</v>
      </c>
      <c r="D33" s="1524">
        <f>D12+D20+D11+D17+D13+D29</f>
        <v>1010200</v>
      </c>
      <c r="E33" s="1524">
        <f>E12+E20+E11+E17+E13+E29</f>
        <v>2283389</v>
      </c>
      <c r="F33" s="1524">
        <f t="shared" ref="F33:J33" si="13">F12+F20+F11+F17+F13+F29</f>
        <v>35488</v>
      </c>
      <c r="G33" s="1524">
        <f t="shared" si="13"/>
        <v>8525</v>
      </c>
      <c r="H33" s="1524">
        <f t="shared" si="13"/>
        <v>1308677</v>
      </c>
      <c r="I33" s="1524">
        <f t="shared" si="13"/>
        <v>1018725</v>
      </c>
      <c r="J33" s="1527">
        <f t="shared" si="13"/>
        <v>2327402</v>
      </c>
      <c r="K33" s="359" t="s">
        <v>1313</v>
      </c>
      <c r="L33" s="1506">
        <f>tartalék!C21</f>
        <v>238734</v>
      </c>
      <c r="M33" s="1506">
        <f>tartalék!D21</f>
        <v>143934</v>
      </c>
      <c r="N33" s="1506">
        <f>tartalék!E21</f>
        <v>382668</v>
      </c>
      <c r="O33" s="1506">
        <v>-211312</v>
      </c>
      <c r="P33" s="1506">
        <v>-34007</v>
      </c>
      <c r="Q33" s="1506">
        <f t="shared" si="10"/>
        <v>27422</v>
      </c>
      <c r="R33" s="1506">
        <f t="shared" si="11"/>
        <v>109927</v>
      </c>
      <c r="S33" s="1530">
        <f t="shared" si="12"/>
        <v>137349</v>
      </c>
    </row>
    <row r="34" spans="1:19" x14ac:dyDescent="0.2">
      <c r="A34" s="1544">
        <f t="shared" si="0"/>
        <v>25</v>
      </c>
      <c r="B34" s="1525" t="s">
        <v>67</v>
      </c>
      <c r="C34" s="1509">
        <f>C15+C16+C24+C25+C26+C27+C30</f>
        <v>8750</v>
      </c>
      <c r="D34" s="1509">
        <f t="shared" ref="D34:J34" si="14">D15+D16+D24+D25+D26+D27+D30</f>
        <v>303720</v>
      </c>
      <c r="E34" s="1509">
        <f t="shared" si="14"/>
        <v>312470</v>
      </c>
      <c r="F34" s="1509">
        <f t="shared" si="14"/>
        <v>1070</v>
      </c>
      <c r="G34" s="1509">
        <f t="shared" si="14"/>
        <v>3082</v>
      </c>
      <c r="H34" s="1509">
        <f t="shared" si="14"/>
        <v>9820</v>
      </c>
      <c r="I34" s="1509">
        <f t="shared" si="14"/>
        <v>306802</v>
      </c>
      <c r="J34" s="1528">
        <f t="shared" si="14"/>
        <v>316622</v>
      </c>
      <c r="K34" s="1605" t="s">
        <v>68</v>
      </c>
      <c r="L34" s="1509">
        <f>SUM(L27:L33)</f>
        <v>2375853</v>
      </c>
      <c r="M34" s="1509">
        <f>SUM(M27:M33)</f>
        <v>325460</v>
      </c>
      <c r="N34" s="1509">
        <f>SUM(N27:N33)</f>
        <v>2701313</v>
      </c>
      <c r="O34" s="1509">
        <f t="shared" ref="O34:S34" si="15">SUM(O27:O33)</f>
        <v>-209429</v>
      </c>
      <c r="P34" s="1509">
        <f t="shared" si="15"/>
        <v>-51707</v>
      </c>
      <c r="Q34" s="1509">
        <f t="shared" si="15"/>
        <v>2166424</v>
      </c>
      <c r="R34" s="1509">
        <f t="shared" si="15"/>
        <v>273753</v>
      </c>
      <c r="S34" s="1528">
        <f t="shared" si="15"/>
        <v>2440177</v>
      </c>
    </row>
    <row r="35" spans="1:19" x14ac:dyDescent="0.2">
      <c r="A35" s="1544">
        <f t="shared" si="0"/>
        <v>26</v>
      </c>
      <c r="B35" s="129" t="s">
        <v>51</v>
      </c>
      <c r="C35" s="1510">
        <f>SUM(C33:C34)</f>
        <v>1281939</v>
      </c>
      <c r="D35" s="1510">
        <f>SUM(D33:D34)</f>
        <v>1313920</v>
      </c>
      <c r="E35" s="1510">
        <f>SUM(C35:D35)</f>
        <v>2595859</v>
      </c>
      <c r="F35" s="1510">
        <f>F33+F34</f>
        <v>36558</v>
      </c>
      <c r="G35" s="1510">
        <f t="shared" ref="G35:J35" si="16">G33+G34</f>
        <v>11607</v>
      </c>
      <c r="H35" s="1510">
        <f t="shared" si="16"/>
        <v>1318497</v>
      </c>
      <c r="I35" s="1510">
        <f t="shared" si="16"/>
        <v>1325527</v>
      </c>
      <c r="J35" s="1529">
        <f t="shared" si="16"/>
        <v>2644024</v>
      </c>
      <c r="K35" s="1606" t="s">
        <v>69</v>
      </c>
      <c r="L35" s="1510">
        <f>L24+L34</f>
        <v>2903464</v>
      </c>
      <c r="M35" s="1510">
        <f>M24+M34</f>
        <v>906864</v>
      </c>
      <c r="N35" s="1510">
        <f>N24+N34</f>
        <v>3810328</v>
      </c>
      <c r="O35" s="1510">
        <f t="shared" ref="O35:S35" si="17">O24+O34</f>
        <v>-6872</v>
      </c>
      <c r="P35" s="1510">
        <f t="shared" si="17"/>
        <v>2284</v>
      </c>
      <c r="Q35" s="1510">
        <f t="shared" si="17"/>
        <v>2896592</v>
      </c>
      <c r="R35" s="1510">
        <f t="shared" si="17"/>
        <v>909148</v>
      </c>
      <c r="S35" s="1529">
        <f t="shared" si="17"/>
        <v>3805740</v>
      </c>
    </row>
    <row r="36" spans="1:19" x14ac:dyDescent="0.2">
      <c r="A36" s="1544">
        <f t="shared" si="0"/>
        <v>27</v>
      </c>
      <c r="B36" s="1492"/>
      <c r="C36" s="1506"/>
      <c r="D36" s="1506"/>
      <c r="E36" s="1506"/>
      <c r="F36" s="1506"/>
      <c r="G36" s="1506"/>
      <c r="H36" s="1506"/>
      <c r="I36" s="1506"/>
      <c r="J36" s="1530"/>
      <c r="K36" s="1602"/>
      <c r="L36" s="1506"/>
      <c r="M36" s="1506"/>
      <c r="N36" s="1506"/>
      <c r="O36" s="1506"/>
      <c r="P36" s="1506"/>
      <c r="Q36" s="209"/>
      <c r="R36" s="209"/>
      <c r="S36" s="1554"/>
    </row>
    <row r="37" spans="1:19" x14ac:dyDescent="0.2">
      <c r="A37" s="1544">
        <f t="shared" si="0"/>
        <v>28</v>
      </c>
      <c r="B37" s="129" t="s">
        <v>23</v>
      </c>
      <c r="C37" s="1510">
        <f>C35-L35</f>
        <v>-1621525</v>
      </c>
      <c r="D37" s="1510">
        <f>D35-M35</f>
        <v>407056</v>
      </c>
      <c r="E37" s="1510">
        <f>E35-N35</f>
        <v>-1214469</v>
      </c>
      <c r="F37" s="1510">
        <f t="shared" ref="F37:J37" si="18">F35-O35</f>
        <v>43430</v>
      </c>
      <c r="G37" s="1510">
        <f t="shared" si="18"/>
        <v>9323</v>
      </c>
      <c r="H37" s="1510">
        <f t="shared" si="18"/>
        <v>-1578095</v>
      </c>
      <c r="I37" s="1510">
        <f t="shared" si="18"/>
        <v>416379</v>
      </c>
      <c r="J37" s="1529">
        <f t="shared" si="18"/>
        <v>-1161716</v>
      </c>
      <c r="K37" s="1603"/>
      <c r="L37" s="1509"/>
      <c r="M37" s="1509"/>
      <c r="N37" s="1509"/>
      <c r="O37" s="1506"/>
      <c r="P37" s="1506"/>
      <c r="Q37" s="209"/>
      <c r="R37" s="209"/>
      <c r="S37" s="1554"/>
    </row>
    <row r="38" spans="1:19" s="11" customFormat="1" x14ac:dyDescent="0.2">
      <c r="A38" s="1544">
        <f t="shared" si="0"/>
        <v>29</v>
      </c>
      <c r="B38" s="1492"/>
      <c r="C38" s="1506"/>
      <c r="D38" s="1506"/>
      <c r="E38" s="1506"/>
      <c r="F38" s="1506"/>
      <c r="G38" s="1506"/>
      <c r="H38" s="1506"/>
      <c r="I38" s="1506"/>
      <c r="J38" s="1530"/>
      <c r="K38" s="1602"/>
      <c r="L38" s="1506"/>
      <c r="M38" s="1506"/>
      <c r="N38" s="1506"/>
      <c r="O38" s="1510"/>
      <c r="P38" s="1510"/>
      <c r="Q38" s="1512"/>
      <c r="R38" s="1512"/>
      <c r="S38" s="1556"/>
    </row>
    <row r="39" spans="1:19" s="11" customFormat="1" x14ac:dyDescent="0.2">
      <c r="A39" s="1544">
        <f t="shared" si="0"/>
        <v>30</v>
      </c>
      <c r="B39" s="1499" t="s">
        <v>53</v>
      </c>
      <c r="C39" s="1494"/>
      <c r="D39" s="1494"/>
      <c r="E39" s="1494"/>
      <c r="F39" s="1494"/>
      <c r="G39" s="1494"/>
      <c r="H39" s="1494"/>
      <c r="I39" s="1494"/>
      <c r="J39" s="375"/>
      <c r="K39" s="1604" t="s">
        <v>33</v>
      </c>
      <c r="L39" s="1510"/>
      <c r="M39" s="1510"/>
      <c r="N39" s="1510"/>
      <c r="O39" s="1510"/>
      <c r="P39" s="1510"/>
      <c r="Q39" s="1512"/>
      <c r="R39" s="1512"/>
      <c r="S39" s="1556"/>
    </row>
    <row r="40" spans="1:19" s="11" customFormat="1" x14ac:dyDescent="0.2">
      <c r="A40" s="1544">
        <f t="shared" si="0"/>
        <v>31</v>
      </c>
      <c r="B40" s="1500" t="s">
        <v>710</v>
      </c>
      <c r="C40" s="1494"/>
      <c r="D40" s="1494"/>
      <c r="E40" s="1494"/>
      <c r="F40" s="1494"/>
      <c r="G40" s="1494"/>
      <c r="H40" s="1494"/>
      <c r="I40" s="1494"/>
      <c r="J40" s="375"/>
      <c r="K40" s="1607" t="s">
        <v>4</v>
      </c>
      <c r="L40" s="1510"/>
      <c r="M40" s="1512"/>
      <c r="N40" s="1512"/>
      <c r="O40" s="1510"/>
      <c r="P40" s="1510"/>
      <c r="Q40" s="1512"/>
      <c r="R40" s="1512"/>
      <c r="S40" s="1556"/>
    </row>
    <row r="41" spans="1:19" s="11" customFormat="1" ht="22.5" customHeight="1" x14ac:dyDescent="0.2">
      <c r="A41" s="1600">
        <f t="shared" si="0"/>
        <v>32</v>
      </c>
      <c r="B41" s="1501" t="s">
        <v>1052</v>
      </c>
      <c r="C41" s="203">
        <v>1243160</v>
      </c>
      <c r="D41" s="1494"/>
      <c r="E41" s="1503">
        <f>SUM(C41:D41)</f>
        <v>1243160</v>
      </c>
      <c r="F41" s="1503"/>
      <c r="G41" s="1503"/>
      <c r="H41" s="1503">
        <f>F41+C41</f>
        <v>1243160</v>
      </c>
      <c r="I41" s="1503">
        <f>G41+D41</f>
        <v>0</v>
      </c>
      <c r="J41" s="1531">
        <f>H41+I41</f>
        <v>1243160</v>
      </c>
      <c r="K41" s="1608" t="s">
        <v>3</v>
      </c>
      <c r="L41" s="1510"/>
      <c r="M41" s="1510"/>
      <c r="N41" s="1510"/>
      <c r="O41" s="1510"/>
      <c r="P41" s="1510"/>
      <c r="Q41" s="1512"/>
      <c r="R41" s="1512"/>
      <c r="S41" s="1556"/>
    </row>
    <row r="42" spans="1:19" x14ac:dyDescent="0.2">
      <c r="A42" s="1544">
        <f t="shared" si="0"/>
        <v>33</v>
      </c>
      <c r="B42" s="96" t="s">
        <v>712</v>
      </c>
      <c r="C42" s="1502"/>
      <c r="D42" s="1503"/>
      <c r="E42" s="1503">
        <f>SUM(C42:D42)</f>
        <v>0</v>
      </c>
      <c r="F42" s="1503"/>
      <c r="G42" s="1503"/>
      <c r="H42" s="1503"/>
      <c r="I42" s="1503"/>
      <c r="J42" s="1531"/>
      <c r="K42" s="359" t="s">
        <v>5</v>
      </c>
      <c r="L42" s="1510"/>
      <c r="M42" s="1510"/>
      <c r="N42" s="1510"/>
      <c r="O42" s="1506"/>
      <c r="P42" s="1506"/>
      <c r="Q42" s="209"/>
      <c r="R42" s="209"/>
      <c r="S42" s="1554"/>
    </row>
    <row r="43" spans="1:19" x14ac:dyDescent="0.2">
      <c r="A43" s="1544">
        <f t="shared" si="0"/>
        <v>34</v>
      </c>
      <c r="B43" s="96" t="s">
        <v>215</v>
      </c>
      <c r="C43" s="203"/>
      <c r="D43" s="203"/>
      <c r="E43" s="203"/>
      <c r="F43" s="203"/>
      <c r="G43" s="203"/>
      <c r="H43" s="1503"/>
      <c r="I43" s="1503"/>
      <c r="J43" s="1531"/>
      <c r="K43" s="359" t="s">
        <v>6</v>
      </c>
      <c r="L43" s="1510"/>
      <c r="M43" s="1510"/>
      <c r="N43" s="1510"/>
      <c r="O43" s="1506"/>
      <c r="P43" s="1506"/>
      <c r="Q43" s="209"/>
      <c r="R43" s="209"/>
      <c r="S43" s="1554"/>
    </row>
    <row r="44" spans="1:19" x14ac:dyDescent="0.2">
      <c r="A44" s="1544">
        <f t="shared" si="0"/>
        <v>35</v>
      </c>
      <c r="B44" s="1505" t="s">
        <v>216</v>
      </c>
      <c r="C44" s="203">
        <v>1193985</v>
      </c>
      <c r="D44" s="203">
        <v>158595</v>
      </c>
      <c r="E44" s="203">
        <f>C44+D44</f>
        <v>1352580</v>
      </c>
      <c r="F44" s="203"/>
      <c r="G44" s="203"/>
      <c r="H44" s="1503">
        <f t="shared" ref="H44:H46" si="19">F44+C44</f>
        <v>1193985</v>
      </c>
      <c r="I44" s="1503">
        <f t="shared" ref="I44:I46" si="20">G44+D44</f>
        <v>158595</v>
      </c>
      <c r="J44" s="1531">
        <f t="shared" ref="J44:J46" si="21">H44+I44</f>
        <v>1352580</v>
      </c>
      <c r="K44" s="359" t="s">
        <v>7</v>
      </c>
      <c r="L44" s="1510"/>
      <c r="M44" s="1510"/>
      <c r="N44" s="1510"/>
      <c r="O44" s="1506"/>
      <c r="P44" s="1506"/>
      <c r="Q44" s="209"/>
      <c r="R44" s="209"/>
      <c r="S44" s="1554"/>
    </row>
    <row r="45" spans="1:19" x14ac:dyDescent="0.2">
      <c r="A45" s="1544">
        <f t="shared" si="0"/>
        <v>36</v>
      </c>
      <c r="B45" s="1505" t="s">
        <v>993</v>
      </c>
      <c r="C45" s="203"/>
      <c r="D45" s="203"/>
      <c r="E45" s="203"/>
      <c r="F45" s="203"/>
      <c r="G45" s="203"/>
      <c r="H45" s="1503"/>
      <c r="I45" s="1503"/>
      <c r="J45" s="1531"/>
      <c r="K45" s="359"/>
      <c r="L45" s="1510"/>
      <c r="M45" s="1510"/>
      <c r="N45" s="1510"/>
      <c r="O45" s="1506"/>
      <c r="P45" s="1506"/>
      <c r="Q45" s="209"/>
      <c r="R45" s="209"/>
      <c r="S45" s="1554"/>
    </row>
    <row r="46" spans="1:19" x14ac:dyDescent="0.2">
      <c r="A46" s="1544">
        <f t="shared" si="0"/>
        <v>37</v>
      </c>
      <c r="B46" s="96" t="s">
        <v>713</v>
      </c>
      <c r="C46" s="203">
        <v>1164</v>
      </c>
      <c r="D46" s="203"/>
      <c r="E46" s="203">
        <f>C46+D46</f>
        <v>1164</v>
      </c>
      <c r="F46" s="203">
        <v>867</v>
      </c>
      <c r="G46" s="203"/>
      <c r="H46" s="1503">
        <f t="shared" si="19"/>
        <v>2031</v>
      </c>
      <c r="I46" s="1503">
        <f t="shared" si="20"/>
        <v>0</v>
      </c>
      <c r="J46" s="1531">
        <f t="shared" si="21"/>
        <v>2031</v>
      </c>
      <c r="K46" s="359" t="s">
        <v>8</v>
      </c>
      <c r="L46" s="1510"/>
      <c r="M46" s="1510"/>
      <c r="N46" s="1506"/>
      <c r="O46" s="1506"/>
      <c r="P46" s="1506"/>
      <c r="Q46" s="209"/>
      <c r="R46" s="209"/>
      <c r="S46" s="1554"/>
    </row>
    <row r="47" spans="1:19" x14ac:dyDescent="0.2">
      <c r="A47" s="1544">
        <f t="shared" si="0"/>
        <v>38</v>
      </c>
      <c r="B47" s="96" t="s">
        <v>714</v>
      </c>
      <c r="C47" s="1494"/>
      <c r="D47" s="1494"/>
      <c r="E47" s="1494"/>
      <c r="F47" s="1494"/>
      <c r="G47" s="1494"/>
      <c r="H47" s="1494"/>
      <c r="I47" s="1494"/>
      <c r="J47" s="375"/>
      <c r="K47" s="359" t="s">
        <v>279</v>
      </c>
      <c r="L47" s="1506">
        <v>28857</v>
      </c>
      <c r="M47" s="1506">
        <f>3062+689</f>
        <v>3751</v>
      </c>
      <c r="N47" s="1506">
        <f>SUM(L47:M47)</f>
        <v>32608</v>
      </c>
      <c r="O47" s="1506">
        <v>867</v>
      </c>
      <c r="P47" s="1506"/>
      <c r="Q47" s="1506">
        <f>L47+O47</f>
        <v>29724</v>
      </c>
      <c r="R47" s="1506">
        <f>M47+P47</f>
        <v>3751</v>
      </c>
      <c r="S47" s="1530">
        <f>Q47+R47</f>
        <v>33475</v>
      </c>
    </row>
    <row r="48" spans="1:19" x14ac:dyDescent="0.2">
      <c r="A48" s="1544">
        <f t="shared" si="0"/>
        <v>39</v>
      </c>
      <c r="B48" s="96" t="s">
        <v>715</v>
      </c>
      <c r="C48" s="203"/>
      <c r="D48" s="203"/>
      <c r="E48" s="203"/>
      <c r="F48" s="203"/>
      <c r="G48" s="203"/>
      <c r="H48" s="203"/>
      <c r="I48" s="203"/>
      <c r="J48" s="349"/>
      <c r="K48" s="359" t="s">
        <v>245</v>
      </c>
      <c r="L48" s="1506"/>
      <c r="M48" s="1506"/>
      <c r="N48" s="1506"/>
      <c r="O48" s="1506"/>
      <c r="P48" s="1506"/>
      <c r="Q48" s="1506">
        <f t="shared" ref="Q48:Q50" si="22">L48+O48</f>
        <v>0</v>
      </c>
      <c r="R48" s="1506">
        <f t="shared" ref="R48:R50" si="23">M48+P48</f>
        <v>0</v>
      </c>
      <c r="S48" s="1530">
        <f t="shared" ref="S48:S50" si="24">Q48+R48</f>
        <v>0</v>
      </c>
    </row>
    <row r="49" spans="1:19" x14ac:dyDescent="0.2">
      <c r="A49" s="1544">
        <f t="shared" si="0"/>
        <v>40</v>
      </c>
      <c r="B49" s="96" t="s">
        <v>716</v>
      </c>
      <c r="C49" s="203"/>
      <c r="D49" s="203"/>
      <c r="E49" s="203"/>
      <c r="F49" s="203"/>
      <c r="G49" s="203"/>
      <c r="H49" s="203"/>
      <c r="I49" s="203"/>
      <c r="J49" s="349"/>
      <c r="K49" s="1601" t="s">
        <v>246</v>
      </c>
      <c r="L49" s="1506">
        <f>'pü.mérleg Hivatal'!D48+'püm. GAMESZ. '!C48+'püm-TASZII.'!C48+püm.Brunszvik!C48+'püm Festetics'!C48</f>
        <v>773352</v>
      </c>
      <c r="M49" s="1506">
        <f>'pü.mérleg Hivatal'!E48+'püm. GAMESZ. '!D48+'püm-TASZII.'!D48+püm.Brunszvik!D48+'püm Festetics'!D48</f>
        <v>543312</v>
      </c>
      <c r="N49" s="1506">
        <f>SUM(L49:M49)</f>
        <v>1316664</v>
      </c>
      <c r="O49" s="1506">
        <v>42600</v>
      </c>
      <c r="P49" s="1506">
        <v>9323</v>
      </c>
      <c r="Q49" s="1506">
        <f t="shared" si="22"/>
        <v>815952</v>
      </c>
      <c r="R49" s="1506">
        <f t="shared" si="23"/>
        <v>552635</v>
      </c>
      <c r="S49" s="1530">
        <f t="shared" si="24"/>
        <v>1368587</v>
      </c>
    </row>
    <row r="50" spans="1:19" x14ac:dyDescent="0.2">
      <c r="A50" s="1544">
        <f t="shared" si="0"/>
        <v>41</v>
      </c>
      <c r="B50" s="96" t="s">
        <v>0</v>
      </c>
      <c r="C50" s="203"/>
      <c r="D50" s="203"/>
      <c r="E50" s="203"/>
      <c r="F50" s="203"/>
      <c r="G50" s="203"/>
      <c r="H50" s="203"/>
      <c r="I50" s="203"/>
      <c r="J50" s="349"/>
      <c r="K50" s="1601" t="s">
        <v>247</v>
      </c>
      <c r="L50" s="1506">
        <f>'pü.mérleg Hivatal'!D49+'püm. GAMESZ. '!C49+'püm-TASZII.'!C49+püm.Brunszvik!C49+'püm Festetics'!C49</f>
        <v>14575</v>
      </c>
      <c r="M50" s="1506">
        <f>'pü.mérleg Hivatal'!E49+'püm. GAMESZ. '!D49+püm.Brunszvik!D49+'püm Festetics'!D49+'püm-TASZII.'!D49</f>
        <v>18588</v>
      </c>
      <c r="N50" s="1506">
        <f>'pü.mérleg Hivatal'!F49+'püm. GAMESZ. '!E49+'püm-TASZII.'!E49+püm.Brunszvik!E49+'püm Festetics'!E49</f>
        <v>33163</v>
      </c>
      <c r="O50" s="1506">
        <v>830</v>
      </c>
      <c r="P50" s="1506"/>
      <c r="Q50" s="1506">
        <f t="shared" si="22"/>
        <v>15405</v>
      </c>
      <c r="R50" s="1506">
        <f t="shared" si="23"/>
        <v>18588</v>
      </c>
      <c r="S50" s="1530">
        <f t="shared" si="24"/>
        <v>33993</v>
      </c>
    </row>
    <row r="51" spans="1:19" x14ac:dyDescent="0.2">
      <c r="A51" s="1544">
        <f t="shared" si="0"/>
        <v>42</v>
      </c>
      <c r="B51" s="96" t="s">
        <v>1</v>
      </c>
      <c r="C51" s="203"/>
      <c r="D51" s="203"/>
      <c r="E51" s="203">
        <f>SUM(C51:D51)</f>
        <v>0</v>
      </c>
      <c r="F51" s="203"/>
      <c r="G51" s="203"/>
      <c r="H51" s="203"/>
      <c r="I51" s="203"/>
      <c r="J51" s="349"/>
      <c r="K51" s="359" t="s">
        <v>13</v>
      </c>
      <c r="L51" s="1526"/>
      <c r="M51" s="1526"/>
      <c r="N51" s="1526"/>
      <c r="O51" s="1506"/>
      <c r="P51" s="1506"/>
      <c r="Q51" s="209"/>
      <c r="R51" s="209"/>
      <c r="S51" s="1554"/>
    </row>
    <row r="52" spans="1:19" x14ac:dyDescent="0.2">
      <c r="A52" s="1544">
        <f t="shared" si="0"/>
        <v>43</v>
      </c>
      <c r="B52" s="96"/>
      <c r="C52" s="203"/>
      <c r="D52" s="203"/>
      <c r="E52" s="203"/>
      <c r="F52" s="203"/>
      <c r="G52" s="203"/>
      <c r="H52" s="203"/>
      <c r="I52" s="203"/>
      <c r="J52" s="349"/>
      <c r="K52" s="359" t="s">
        <v>14</v>
      </c>
      <c r="L52" s="1506"/>
      <c r="M52" s="1506"/>
      <c r="N52" s="1506"/>
      <c r="O52" s="1506"/>
      <c r="P52" s="1506"/>
      <c r="Q52" s="209"/>
      <c r="R52" s="209"/>
      <c r="S52" s="1554"/>
    </row>
    <row r="53" spans="1:19" x14ac:dyDescent="0.2">
      <c r="A53" s="1544">
        <f t="shared" si="0"/>
        <v>44</v>
      </c>
      <c r="B53" s="96"/>
      <c r="C53" s="203"/>
      <c r="D53" s="203"/>
      <c r="E53" s="203"/>
      <c r="F53" s="203"/>
      <c r="G53" s="203"/>
      <c r="H53" s="203"/>
      <c r="I53" s="203"/>
      <c r="J53" s="349"/>
      <c r="K53" s="359" t="s">
        <v>15</v>
      </c>
      <c r="L53" s="1506"/>
      <c r="M53" s="1506"/>
      <c r="N53" s="1506"/>
      <c r="O53" s="1506"/>
      <c r="P53" s="1506"/>
      <c r="Q53" s="209"/>
      <c r="R53" s="209"/>
      <c r="S53" s="1554"/>
    </row>
    <row r="54" spans="1:19" ht="12" thickBot="1" x14ac:dyDescent="0.25">
      <c r="A54" s="1544">
        <f t="shared" si="0"/>
        <v>45</v>
      </c>
      <c r="B54" s="129" t="s">
        <v>463</v>
      </c>
      <c r="C54" s="1494">
        <f>SUM(C40:C52)</f>
        <v>2438309</v>
      </c>
      <c r="D54" s="1494">
        <f>SUM(D40:D52)</f>
        <v>158595</v>
      </c>
      <c r="E54" s="1494">
        <f>SUM(E40:E52)</f>
        <v>2596904</v>
      </c>
      <c r="F54" s="1494">
        <f t="shared" ref="F54:J54" si="25">SUM(F40:F52)</f>
        <v>867</v>
      </c>
      <c r="G54" s="1494">
        <f t="shared" si="25"/>
        <v>0</v>
      </c>
      <c r="H54" s="1494">
        <f t="shared" si="25"/>
        <v>2439176</v>
      </c>
      <c r="I54" s="1494">
        <f t="shared" si="25"/>
        <v>158595</v>
      </c>
      <c r="J54" s="375">
        <f t="shared" si="25"/>
        <v>2597771</v>
      </c>
      <c r="K54" s="1604" t="s">
        <v>456</v>
      </c>
      <c r="L54" s="1510">
        <f t="shared" ref="L54:S54" si="26">SUM(L40:L53)</f>
        <v>816784</v>
      </c>
      <c r="M54" s="1510">
        <f t="shared" si="26"/>
        <v>565651</v>
      </c>
      <c r="N54" s="1510">
        <f t="shared" si="26"/>
        <v>1382435</v>
      </c>
      <c r="O54" s="1510">
        <f t="shared" si="26"/>
        <v>44297</v>
      </c>
      <c r="P54" s="1510">
        <f t="shared" si="26"/>
        <v>9323</v>
      </c>
      <c r="Q54" s="1510">
        <f t="shared" si="26"/>
        <v>861081</v>
      </c>
      <c r="R54" s="1510">
        <f t="shared" si="26"/>
        <v>574974</v>
      </c>
      <c r="S54" s="1529">
        <f t="shared" si="26"/>
        <v>1436055</v>
      </c>
    </row>
    <row r="55" spans="1:19" ht="12" thickBot="1" x14ac:dyDescent="0.25">
      <c r="A55" s="710">
        <f t="shared" si="0"/>
        <v>46</v>
      </c>
      <c r="B55" s="1520" t="s">
        <v>458</v>
      </c>
      <c r="C55" s="708">
        <f>C35+C54</f>
        <v>3720248</v>
      </c>
      <c r="D55" s="708">
        <f>D35+D54</f>
        <v>1472515</v>
      </c>
      <c r="E55" s="752">
        <f>E35+E54</f>
        <v>5192763</v>
      </c>
      <c r="F55" s="752">
        <f t="shared" ref="F55:J55" si="27">F35+F54</f>
        <v>37425</v>
      </c>
      <c r="G55" s="752">
        <f t="shared" si="27"/>
        <v>11607</v>
      </c>
      <c r="H55" s="752">
        <f t="shared" si="27"/>
        <v>3757673</v>
      </c>
      <c r="I55" s="752">
        <f t="shared" si="27"/>
        <v>1484122</v>
      </c>
      <c r="J55" s="752">
        <f t="shared" si="27"/>
        <v>5241795</v>
      </c>
      <c r="K55" s="711" t="s">
        <v>457</v>
      </c>
      <c r="L55" s="708">
        <f t="shared" ref="L55:S55" si="28">L35+L54</f>
        <v>3720248</v>
      </c>
      <c r="M55" s="708">
        <f t="shared" si="28"/>
        <v>1472515</v>
      </c>
      <c r="N55" s="752">
        <f t="shared" si="28"/>
        <v>5192763</v>
      </c>
      <c r="O55" s="752">
        <f t="shared" si="28"/>
        <v>37425</v>
      </c>
      <c r="P55" s="752">
        <f t="shared" si="28"/>
        <v>11607</v>
      </c>
      <c r="Q55" s="752">
        <f t="shared" si="28"/>
        <v>3757673</v>
      </c>
      <c r="R55" s="752">
        <f t="shared" si="28"/>
        <v>1484122</v>
      </c>
      <c r="S55" s="1521">
        <f t="shared" si="28"/>
        <v>5241795</v>
      </c>
    </row>
    <row r="56" spans="1:19" x14ac:dyDescent="0.2">
      <c r="B56" s="131"/>
      <c r="C56" s="130"/>
      <c r="D56" s="130"/>
      <c r="E56" s="130"/>
      <c r="F56" s="130"/>
      <c r="G56" s="130"/>
      <c r="H56" s="130"/>
      <c r="I56" s="130"/>
      <c r="J56" s="130"/>
      <c r="K56" s="127"/>
      <c r="L56" s="130"/>
      <c r="M56" s="130"/>
      <c r="N56" s="130"/>
    </row>
    <row r="62" spans="1:19" x14ac:dyDescent="0.2">
      <c r="M62" s="125"/>
    </row>
  </sheetData>
  <sheetProtection selectLockedCells="1" selectUnlockedCells="1"/>
  <mergeCells count="15">
    <mergeCell ref="A1:S1"/>
    <mergeCell ref="O7:P7"/>
    <mergeCell ref="Q7:S7"/>
    <mergeCell ref="L6:S6"/>
    <mergeCell ref="A5:S5"/>
    <mergeCell ref="B3:S3"/>
    <mergeCell ref="B4:S4"/>
    <mergeCell ref="A6:A8"/>
    <mergeCell ref="L7:N7"/>
    <mergeCell ref="B6:B7"/>
    <mergeCell ref="K6:K7"/>
    <mergeCell ref="C7:E7"/>
    <mergeCell ref="F7:G7"/>
    <mergeCell ref="H7:J7"/>
    <mergeCell ref="C6:J6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81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T55"/>
  <sheetViews>
    <sheetView zoomScale="120" workbookViewId="0">
      <selection activeCell="G21" sqref="G21"/>
    </sheetView>
  </sheetViews>
  <sheetFormatPr defaultColWidth="9.140625" defaultRowHeight="11.25" x14ac:dyDescent="0.2"/>
  <cols>
    <col min="1" max="1" width="9.140625" style="10"/>
    <col min="2" max="2" width="3.7109375" style="119" customWidth="1"/>
    <col min="3" max="3" width="36.140625" style="119" customWidth="1"/>
    <col min="4" max="5" width="10.28515625" style="120" customWidth="1"/>
    <col min="6" max="11" width="9" style="120" customWidth="1"/>
    <col min="12" max="12" width="36.140625" style="120" customWidth="1"/>
    <col min="13" max="13" width="7.85546875" style="120" customWidth="1"/>
    <col min="14" max="14" width="10.140625" style="120" customWidth="1"/>
    <col min="15" max="15" width="10" style="120" customWidth="1"/>
    <col min="16" max="16384" width="9.140625" style="10"/>
  </cols>
  <sheetData>
    <row r="1" spans="2:20" ht="12.75" customHeight="1" x14ac:dyDescent="0.2">
      <c r="D1" s="1214" t="s">
        <v>1306</v>
      </c>
      <c r="E1" s="1214"/>
      <c r="F1" s="1214"/>
      <c r="G1" s="1214"/>
      <c r="H1" s="1214"/>
      <c r="I1" s="1214"/>
      <c r="J1" s="1214"/>
      <c r="K1" s="1214"/>
      <c r="L1" s="1214"/>
      <c r="M1" s="1214"/>
      <c r="N1" s="1214"/>
      <c r="O1" s="1214"/>
      <c r="P1" s="1214"/>
      <c r="Q1" s="1214"/>
      <c r="R1" s="1214"/>
      <c r="S1" s="1214"/>
      <c r="T1" s="1214"/>
    </row>
    <row r="2" spans="2:20" x14ac:dyDescent="0.2">
      <c r="L2" s="121"/>
      <c r="M2" s="121"/>
      <c r="N2" s="121"/>
      <c r="O2" s="121"/>
    </row>
    <row r="3" spans="2:20" x14ac:dyDescent="0.2">
      <c r="L3" s="121"/>
      <c r="M3" s="121"/>
      <c r="N3" s="121"/>
      <c r="O3" s="121"/>
    </row>
    <row r="4" spans="2:20" s="99" customFormat="1" ht="12.75" customHeight="1" x14ac:dyDescent="0.2">
      <c r="B4" s="122"/>
      <c r="C4" s="1215" t="s">
        <v>78</v>
      </c>
      <c r="D4" s="1215"/>
      <c r="E4" s="1215"/>
      <c r="F4" s="1215"/>
      <c r="G4" s="1215"/>
      <c r="H4" s="1215"/>
      <c r="I4" s="1215"/>
      <c r="J4" s="1215"/>
      <c r="K4" s="1215"/>
      <c r="L4" s="1215"/>
      <c r="M4" s="1215"/>
      <c r="N4" s="1215"/>
      <c r="O4" s="1215"/>
      <c r="P4" s="1215"/>
      <c r="Q4" s="1215"/>
      <c r="R4" s="1215"/>
      <c r="S4" s="1215"/>
      <c r="T4" s="1215"/>
    </row>
    <row r="5" spans="2:20" s="99" customFormat="1" x14ac:dyDescent="0.2">
      <c r="B5" s="122"/>
      <c r="C5" s="1338" t="s">
        <v>189</v>
      </c>
      <c r="D5" s="1338"/>
      <c r="E5" s="1338"/>
      <c r="F5" s="1338"/>
      <c r="G5" s="1338"/>
      <c r="H5" s="1338"/>
      <c r="I5" s="1338"/>
      <c r="J5" s="1338"/>
      <c r="K5" s="1338"/>
      <c r="L5" s="1338"/>
      <c r="M5" s="1338"/>
      <c r="N5" s="1338"/>
      <c r="O5" s="1338"/>
      <c r="P5" s="1338"/>
      <c r="Q5" s="1338"/>
      <c r="R5" s="1338"/>
      <c r="S5" s="1338"/>
      <c r="T5" s="1338"/>
    </row>
    <row r="6" spans="2:20" s="99" customFormat="1" x14ac:dyDescent="0.2">
      <c r="B6" s="122"/>
      <c r="C6" s="1215" t="s">
        <v>1105</v>
      </c>
      <c r="D6" s="1215"/>
      <c r="E6" s="1215"/>
      <c r="F6" s="1215"/>
      <c r="G6" s="1215"/>
      <c r="H6" s="1215"/>
      <c r="I6" s="1215"/>
      <c r="J6" s="1215"/>
      <c r="K6" s="1215"/>
      <c r="L6" s="1215"/>
      <c r="M6" s="1215"/>
      <c r="N6" s="1215"/>
      <c r="O6" s="1215"/>
      <c r="P6" s="1215"/>
      <c r="Q6" s="1215"/>
      <c r="R6" s="1215"/>
      <c r="S6" s="1215"/>
      <c r="T6" s="1215"/>
    </row>
    <row r="7" spans="2:20" s="99" customFormat="1" ht="12.75" customHeight="1" x14ac:dyDescent="0.2">
      <c r="B7" s="1226" t="s">
        <v>311</v>
      </c>
      <c r="C7" s="1226"/>
      <c r="D7" s="1226"/>
      <c r="E7" s="1226"/>
      <c r="F7" s="1226"/>
      <c r="G7" s="1226"/>
      <c r="H7" s="1226"/>
      <c r="I7" s="1226"/>
      <c r="J7" s="1226"/>
      <c r="K7" s="1226"/>
      <c r="L7" s="1226"/>
      <c r="M7" s="1226"/>
      <c r="N7" s="1226"/>
      <c r="O7" s="1226"/>
      <c r="P7" s="1226"/>
      <c r="Q7" s="1226"/>
      <c r="R7" s="1226"/>
      <c r="S7" s="1226"/>
      <c r="T7" s="1226"/>
    </row>
    <row r="8" spans="2:20" s="99" customFormat="1" ht="12.75" customHeight="1" x14ac:dyDescent="0.2">
      <c r="B8" s="1545" t="s">
        <v>56</v>
      </c>
      <c r="C8" s="1557" t="s">
        <v>57</v>
      </c>
      <c r="D8" s="1558" t="s">
        <v>58</v>
      </c>
      <c r="E8" s="1557"/>
      <c r="F8" s="1557"/>
      <c r="G8" s="1557"/>
      <c r="H8" s="1557"/>
      <c r="I8" s="1557"/>
      <c r="J8" s="1557"/>
      <c r="K8" s="1559"/>
      <c r="L8" s="1560" t="s">
        <v>59</v>
      </c>
      <c r="M8" s="1227" t="s">
        <v>60</v>
      </c>
      <c r="N8" s="1227"/>
      <c r="O8" s="1227"/>
      <c r="P8" s="1227"/>
      <c r="Q8" s="1227"/>
      <c r="R8" s="1227"/>
      <c r="S8" s="1227"/>
      <c r="T8" s="1227"/>
    </row>
    <row r="9" spans="2:20" s="99" customFormat="1" ht="12.75" customHeight="1" x14ac:dyDescent="0.2">
      <c r="B9" s="1546"/>
      <c r="C9" s="1218"/>
      <c r="D9" s="1228" t="s">
        <v>1316</v>
      </c>
      <c r="E9" s="1228"/>
      <c r="F9" s="1229"/>
      <c r="G9" s="1220" t="s">
        <v>1293</v>
      </c>
      <c r="H9" s="1220"/>
      <c r="I9" s="1222" t="s">
        <v>1315</v>
      </c>
      <c r="J9" s="1223"/>
      <c r="K9" s="1224"/>
      <c r="L9" s="1337"/>
      <c r="M9" s="1228" t="s">
        <v>1316</v>
      </c>
      <c r="N9" s="1228"/>
      <c r="O9" s="1229"/>
      <c r="P9" s="1220" t="s">
        <v>1293</v>
      </c>
      <c r="Q9" s="1220"/>
      <c r="R9" s="1222" t="s">
        <v>1315</v>
      </c>
      <c r="S9" s="1223"/>
      <c r="T9" s="1224"/>
    </row>
    <row r="10" spans="2:20" s="100" customFormat="1" ht="36.6" customHeight="1" x14ac:dyDescent="0.2">
      <c r="B10" s="1547"/>
      <c r="C10" s="1211" t="s">
        <v>61</v>
      </c>
      <c r="D10" s="1532" t="s">
        <v>62</v>
      </c>
      <c r="E10" s="1532" t="s">
        <v>63</v>
      </c>
      <c r="F10" s="1533" t="s">
        <v>64</v>
      </c>
      <c r="G10" s="1534" t="s">
        <v>62</v>
      </c>
      <c r="H10" s="1534" t="s">
        <v>63</v>
      </c>
      <c r="I10" s="1532" t="s">
        <v>62</v>
      </c>
      <c r="J10" s="1532" t="s">
        <v>63</v>
      </c>
      <c r="K10" s="1535" t="s">
        <v>64</v>
      </c>
      <c r="L10" s="1536" t="s">
        <v>65</v>
      </c>
      <c r="M10" s="757" t="s">
        <v>62</v>
      </c>
      <c r="N10" s="757" t="s">
        <v>63</v>
      </c>
      <c r="O10" s="757" t="s">
        <v>64</v>
      </c>
      <c r="P10" s="757" t="s">
        <v>62</v>
      </c>
      <c r="Q10" s="757" t="s">
        <v>63</v>
      </c>
      <c r="R10" s="757" t="s">
        <v>62</v>
      </c>
      <c r="S10" s="757" t="s">
        <v>63</v>
      </c>
      <c r="T10" s="757" t="s">
        <v>64</v>
      </c>
    </row>
    <row r="11" spans="2:20" ht="11.45" customHeight="1" x14ac:dyDescent="0.2">
      <c r="B11" s="1544">
        <v>1</v>
      </c>
      <c r="C11" s="1488" t="s">
        <v>24</v>
      </c>
      <c r="D11" s="127"/>
      <c r="E11" s="127"/>
      <c r="F11" s="127"/>
      <c r="G11" s="127"/>
      <c r="H11" s="127"/>
      <c r="I11" s="127"/>
      <c r="J11" s="127"/>
      <c r="K11" s="1516"/>
      <c r="L11" s="1499" t="s">
        <v>25</v>
      </c>
      <c r="M11" s="127"/>
      <c r="N11" s="127"/>
      <c r="O11" s="125"/>
      <c r="P11" s="209"/>
      <c r="Q11" s="209"/>
      <c r="R11" s="209"/>
      <c r="S11" s="209"/>
      <c r="T11" s="1554"/>
    </row>
    <row r="12" spans="2:20" x14ac:dyDescent="0.2">
      <c r="B12" s="1544">
        <f t="shared" ref="B12:B54" si="0">B11+1</f>
        <v>2</v>
      </c>
      <c r="C12" s="124" t="s">
        <v>35</v>
      </c>
      <c r="D12" s="96"/>
      <c r="E12" s="96"/>
      <c r="F12" s="96">
        <f>SUM(D12:E12)</f>
        <v>0</v>
      </c>
      <c r="G12" s="96"/>
      <c r="H12" s="96"/>
      <c r="I12" s="96"/>
      <c r="J12" s="96"/>
      <c r="K12" s="336"/>
      <c r="L12" s="96" t="s">
        <v>223</v>
      </c>
      <c r="M12" s="96">
        <v>101776</v>
      </c>
      <c r="N12" s="96">
        <v>88155</v>
      </c>
      <c r="O12" s="1538">
        <f>SUM(M12:N12)</f>
        <v>189931</v>
      </c>
      <c r="P12" s="209"/>
      <c r="Q12" s="1506"/>
      <c r="R12" s="1506">
        <f>M12+P12</f>
        <v>101776</v>
      </c>
      <c r="S12" s="1506">
        <f>N12+Q12</f>
        <v>88155</v>
      </c>
      <c r="T12" s="1530">
        <f>R12+S12</f>
        <v>189931</v>
      </c>
    </row>
    <row r="13" spans="2:20" x14ac:dyDescent="0.2">
      <c r="B13" s="1544">
        <f t="shared" si="0"/>
        <v>3</v>
      </c>
      <c r="C13" s="124" t="s">
        <v>36</v>
      </c>
      <c r="D13" s="96"/>
      <c r="E13" s="96"/>
      <c r="F13" s="96">
        <f>SUM(D13:E13)</f>
        <v>0</v>
      </c>
      <c r="G13" s="96"/>
      <c r="H13" s="96"/>
      <c r="I13" s="96"/>
      <c r="J13" s="96"/>
      <c r="K13" s="336"/>
      <c r="L13" s="1505" t="s">
        <v>224</v>
      </c>
      <c r="M13" s="96">
        <v>28452</v>
      </c>
      <c r="N13" s="96">
        <v>20061</v>
      </c>
      <c r="O13" s="1538">
        <f>SUM(M13:N13)</f>
        <v>48513</v>
      </c>
      <c r="P13" s="209"/>
      <c r="Q13" s="1506"/>
      <c r="R13" s="1506">
        <f t="shared" ref="R13:R24" si="1">M13+P13</f>
        <v>28452</v>
      </c>
      <c r="S13" s="1506">
        <f t="shared" ref="S13:S24" si="2">N13+Q13</f>
        <v>20061</v>
      </c>
      <c r="T13" s="1530">
        <f t="shared" ref="T13:T24" si="3">R13+S13</f>
        <v>48513</v>
      </c>
    </row>
    <row r="14" spans="2:20" x14ac:dyDescent="0.2">
      <c r="B14" s="1544">
        <f t="shared" si="0"/>
        <v>4</v>
      </c>
      <c r="C14" s="124" t="s">
        <v>37</v>
      </c>
      <c r="D14" s="96">
        <f>'tám, végl. pe.átv  '!C56</f>
        <v>1387</v>
      </c>
      <c r="E14" s="96"/>
      <c r="F14" s="96">
        <f>SUM(D14:E14)</f>
        <v>1387</v>
      </c>
      <c r="G14" s="96"/>
      <c r="H14" s="96"/>
      <c r="I14" s="96">
        <f>D14+G14</f>
        <v>1387</v>
      </c>
      <c r="J14" s="96">
        <f>E14+H14</f>
        <v>0</v>
      </c>
      <c r="K14" s="336">
        <f>I14+J14</f>
        <v>1387</v>
      </c>
      <c r="L14" s="96" t="s">
        <v>225</v>
      </c>
      <c r="M14" s="96">
        <v>6960</v>
      </c>
      <c r="N14" s="96">
        <v>60158</v>
      </c>
      <c r="O14" s="1538">
        <f>SUM(M14:N14)</f>
        <v>67118</v>
      </c>
      <c r="P14" s="209">
        <v>448</v>
      </c>
      <c r="Q14" s="1506"/>
      <c r="R14" s="1506">
        <f t="shared" si="1"/>
        <v>7408</v>
      </c>
      <c r="S14" s="1506">
        <f t="shared" si="2"/>
        <v>60158</v>
      </c>
      <c r="T14" s="1530">
        <f t="shared" si="3"/>
        <v>67566</v>
      </c>
    </row>
    <row r="15" spans="2:20" ht="12" customHeight="1" x14ac:dyDescent="0.2">
      <c r="B15" s="1544">
        <f t="shared" si="0"/>
        <v>5</v>
      </c>
      <c r="C15" s="1539"/>
      <c r="D15" s="96"/>
      <c r="E15" s="96"/>
      <c r="F15" s="96"/>
      <c r="G15" s="96"/>
      <c r="H15" s="96"/>
      <c r="I15" s="96"/>
      <c r="J15" s="96"/>
      <c r="K15" s="336"/>
      <c r="L15" s="96"/>
      <c r="M15" s="96"/>
      <c r="N15" s="96"/>
      <c r="O15" s="1538"/>
      <c r="P15" s="209"/>
      <c r="Q15" s="1506"/>
      <c r="R15" s="1506">
        <f t="shared" si="1"/>
        <v>0</v>
      </c>
      <c r="S15" s="1506">
        <f t="shared" si="2"/>
        <v>0</v>
      </c>
      <c r="T15" s="1530">
        <f t="shared" si="3"/>
        <v>0</v>
      </c>
    </row>
    <row r="16" spans="2:20" x14ac:dyDescent="0.2">
      <c r="B16" s="1544">
        <f t="shared" si="0"/>
        <v>6</v>
      </c>
      <c r="C16" s="124" t="s">
        <v>38</v>
      </c>
      <c r="D16" s="96"/>
      <c r="E16" s="96"/>
      <c r="F16" s="96">
        <f>SUM(D16:E16)</f>
        <v>0</v>
      </c>
      <c r="G16" s="96"/>
      <c r="H16" s="96"/>
      <c r="I16" s="96"/>
      <c r="J16" s="96"/>
      <c r="K16" s="336"/>
      <c r="L16" s="96" t="s">
        <v>28</v>
      </c>
      <c r="M16" s="125">
        <f>'ellátottak hivatal'!E17</f>
        <v>350</v>
      </c>
      <c r="N16" s="125">
        <f>'ellátottak hivatal'!F17</f>
        <v>0</v>
      </c>
      <c r="O16" s="1538">
        <f>SUM(M16:N16)</f>
        <v>350</v>
      </c>
      <c r="P16" s="209"/>
      <c r="Q16" s="1506"/>
      <c r="R16" s="1506">
        <f t="shared" si="1"/>
        <v>350</v>
      </c>
      <c r="S16" s="1506">
        <f t="shared" si="2"/>
        <v>0</v>
      </c>
      <c r="T16" s="1530">
        <f t="shared" si="3"/>
        <v>350</v>
      </c>
    </row>
    <row r="17" spans="2:20" x14ac:dyDescent="0.2">
      <c r="B17" s="1544">
        <f t="shared" si="0"/>
        <v>7</v>
      </c>
      <c r="C17" s="124"/>
      <c r="D17" s="96"/>
      <c r="E17" s="96"/>
      <c r="F17" s="96"/>
      <c r="G17" s="96"/>
      <c r="H17" s="96"/>
      <c r="I17" s="96"/>
      <c r="J17" s="96"/>
      <c r="K17" s="336"/>
      <c r="L17" s="96" t="s">
        <v>30</v>
      </c>
      <c r="M17" s="125"/>
      <c r="N17" s="125"/>
      <c r="O17" s="1538"/>
      <c r="P17" s="209"/>
      <c r="Q17" s="1506"/>
      <c r="R17" s="1506">
        <f t="shared" si="1"/>
        <v>0</v>
      </c>
      <c r="S17" s="1506">
        <f t="shared" si="2"/>
        <v>0</v>
      </c>
      <c r="T17" s="1530">
        <f t="shared" si="3"/>
        <v>0</v>
      </c>
    </row>
    <row r="18" spans="2:20" x14ac:dyDescent="0.2">
      <c r="B18" s="1544">
        <f t="shared" si="0"/>
        <v>8</v>
      </c>
      <c r="C18" s="124" t="s">
        <v>39</v>
      </c>
      <c r="D18" s="96"/>
      <c r="E18" s="96"/>
      <c r="F18" s="96">
        <f>SUM(D18:E18)</f>
        <v>0</v>
      </c>
      <c r="G18" s="96"/>
      <c r="H18" s="96"/>
      <c r="I18" s="96"/>
      <c r="J18" s="96"/>
      <c r="K18" s="336"/>
      <c r="L18" s="96" t="s">
        <v>461</v>
      </c>
      <c r="M18" s="125">
        <f>mc.pe.átad!D66</f>
        <v>30</v>
      </c>
      <c r="N18" s="125">
        <f>mc.pe.átad!E66</f>
        <v>0</v>
      </c>
      <c r="O18" s="125">
        <f>mc.pe.átad!F66</f>
        <v>30</v>
      </c>
      <c r="P18" s="209"/>
      <c r="Q18" s="1506"/>
      <c r="R18" s="1506">
        <f t="shared" si="1"/>
        <v>30</v>
      </c>
      <c r="S18" s="1506">
        <f t="shared" si="2"/>
        <v>0</v>
      </c>
      <c r="T18" s="1530">
        <f t="shared" si="3"/>
        <v>30</v>
      </c>
    </row>
    <row r="19" spans="2:20" x14ac:dyDescent="0.2">
      <c r="B19" s="1544">
        <f t="shared" si="0"/>
        <v>9</v>
      </c>
      <c r="C19" s="126" t="s">
        <v>40</v>
      </c>
      <c r="D19" s="1538"/>
      <c r="E19" s="1538"/>
      <c r="F19" s="1538"/>
      <c r="G19" s="1538"/>
      <c r="H19" s="1538"/>
      <c r="I19" s="1538"/>
      <c r="J19" s="1538"/>
      <c r="K19" s="1548"/>
      <c r="L19" s="96" t="s">
        <v>460</v>
      </c>
      <c r="M19" s="125"/>
      <c r="N19" s="125"/>
      <c r="O19" s="125"/>
      <c r="P19" s="209"/>
      <c r="Q19" s="1506"/>
      <c r="R19" s="1506">
        <f t="shared" si="1"/>
        <v>0</v>
      </c>
      <c r="S19" s="1506">
        <f t="shared" si="2"/>
        <v>0</v>
      </c>
      <c r="T19" s="1530">
        <f t="shared" si="3"/>
        <v>0</v>
      </c>
    </row>
    <row r="20" spans="2:20" x14ac:dyDescent="0.2">
      <c r="B20" s="1544">
        <f t="shared" si="0"/>
        <v>10</v>
      </c>
      <c r="C20" s="124" t="s">
        <v>202</v>
      </c>
      <c r="D20" s="1491">
        <f>'mük. bev.Önkor és Hivatal '!C80</f>
        <v>15</v>
      </c>
      <c r="E20" s="1491">
        <f>'mük. bev.Önkor és Hivatal '!D80</f>
        <v>402</v>
      </c>
      <c r="F20" s="1491">
        <f>SUM(D20:E20)</f>
        <v>417</v>
      </c>
      <c r="G20" s="1491"/>
      <c r="H20" s="1491"/>
      <c r="I20" s="1491">
        <f>D20+G20</f>
        <v>15</v>
      </c>
      <c r="J20" s="1491">
        <f>E20+H20</f>
        <v>402</v>
      </c>
      <c r="K20" s="1549">
        <f>I20+J20</f>
        <v>417</v>
      </c>
      <c r="L20" s="96" t="s">
        <v>230</v>
      </c>
      <c r="M20" s="125"/>
      <c r="N20" s="125">
        <v>0</v>
      </c>
      <c r="O20" s="125">
        <f>N20+M20</f>
        <v>0</v>
      </c>
      <c r="P20" s="209"/>
      <c r="Q20" s="1506"/>
      <c r="R20" s="1506">
        <f t="shared" si="1"/>
        <v>0</v>
      </c>
      <c r="S20" s="1506">
        <f t="shared" si="2"/>
        <v>0</v>
      </c>
      <c r="T20" s="1530">
        <f t="shared" si="3"/>
        <v>0</v>
      </c>
    </row>
    <row r="21" spans="2:20" x14ac:dyDescent="0.2">
      <c r="B21" s="1544">
        <f t="shared" si="0"/>
        <v>11</v>
      </c>
      <c r="C21" s="1492"/>
      <c r="D21" s="1538"/>
      <c r="E21" s="1538"/>
      <c r="F21" s="1538"/>
      <c r="G21" s="1538"/>
      <c r="H21" s="1538"/>
      <c r="I21" s="1538"/>
      <c r="J21" s="1538"/>
      <c r="K21" s="1548"/>
      <c r="L21" s="96" t="s">
        <v>453</v>
      </c>
      <c r="M21" s="125"/>
      <c r="N21" s="125"/>
      <c r="O21" s="125"/>
      <c r="P21" s="209"/>
      <c r="Q21" s="1506"/>
      <c r="R21" s="1506">
        <f t="shared" si="1"/>
        <v>0</v>
      </c>
      <c r="S21" s="1506">
        <f t="shared" si="2"/>
        <v>0</v>
      </c>
      <c r="T21" s="1530">
        <f t="shared" si="3"/>
        <v>0</v>
      </c>
    </row>
    <row r="22" spans="2:20" s="101" customFormat="1" x14ac:dyDescent="0.2">
      <c r="B22" s="1544">
        <f t="shared" si="0"/>
        <v>12</v>
      </c>
      <c r="C22" s="1492" t="s">
        <v>42</v>
      </c>
      <c r="D22" s="1538"/>
      <c r="E22" s="1538"/>
      <c r="F22" s="1538"/>
      <c r="G22" s="1538"/>
      <c r="H22" s="1538"/>
      <c r="I22" s="1538"/>
      <c r="J22" s="1538"/>
      <c r="K22" s="1548"/>
      <c r="L22" s="96" t="s">
        <v>454</v>
      </c>
      <c r="M22" s="125"/>
      <c r="N22" s="125"/>
      <c r="O22" s="125"/>
      <c r="P22" s="1508"/>
      <c r="Q22" s="1523"/>
      <c r="R22" s="1506">
        <f t="shared" si="1"/>
        <v>0</v>
      </c>
      <c r="S22" s="1506">
        <f t="shared" si="2"/>
        <v>0</v>
      </c>
      <c r="T22" s="1530">
        <f t="shared" si="3"/>
        <v>0</v>
      </c>
    </row>
    <row r="23" spans="2:20" s="101" customFormat="1" x14ac:dyDescent="0.2">
      <c r="B23" s="1544">
        <f t="shared" si="0"/>
        <v>13</v>
      </c>
      <c r="C23" s="1492" t="s">
        <v>43</v>
      </c>
      <c r="D23" s="1538"/>
      <c r="E23" s="1538"/>
      <c r="F23" s="1538"/>
      <c r="G23" s="1538"/>
      <c r="H23" s="1538"/>
      <c r="I23" s="1538"/>
      <c r="J23" s="1538"/>
      <c r="K23" s="1548"/>
      <c r="L23" s="125"/>
      <c r="M23" s="125"/>
      <c r="N23" s="125"/>
      <c r="O23" s="125"/>
      <c r="P23" s="1508"/>
      <c r="Q23" s="1523"/>
      <c r="R23" s="1506">
        <f t="shared" si="1"/>
        <v>0</v>
      </c>
      <c r="S23" s="1506">
        <f t="shared" si="2"/>
        <v>0</v>
      </c>
      <c r="T23" s="1530">
        <f t="shared" si="3"/>
        <v>0</v>
      </c>
    </row>
    <row r="24" spans="2:20" x14ac:dyDescent="0.2">
      <c r="B24" s="1544">
        <f t="shared" si="0"/>
        <v>14</v>
      </c>
      <c r="C24" s="124" t="s">
        <v>44</v>
      </c>
      <c r="D24" s="1540"/>
      <c r="E24" s="1540"/>
      <c r="F24" s="1540"/>
      <c r="G24" s="1540"/>
      <c r="H24" s="1540"/>
      <c r="I24" s="1540"/>
      <c r="J24" s="1540"/>
      <c r="K24" s="1550"/>
      <c r="L24" s="1541" t="s">
        <v>66</v>
      </c>
      <c r="M24" s="1541">
        <f>SUM(M12:M22)</f>
        <v>137568</v>
      </c>
      <c r="N24" s="1541">
        <f>SUM(N12:N22)</f>
        <v>168374</v>
      </c>
      <c r="O24" s="1541">
        <f>SUM(O12:O22)</f>
        <v>305942</v>
      </c>
      <c r="P24" s="1542">
        <f>SUM(P12:P23)</f>
        <v>448</v>
      </c>
      <c r="Q24" s="1542">
        <f>SUM(Q12:Q23)</f>
        <v>0</v>
      </c>
      <c r="R24" s="1509">
        <f t="shared" si="1"/>
        <v>138016</v>
      </c>
      <c r="S24" s="1509">
        <f t="shared" si="2"/>
        <v>168374</v>
      </c>
      <c r="T24" s="1528">
        <f t="shared" si="3"/>
        <v>306390</v>
      </c>
    </row>
    <row r="25" spans="2:20" x14ac:dyDescent="0.2">
      <c r="B25" s="1544">
        <f t="shared" si="0"/>
        <v>15</v>
      </c>
      <c r="C25" s="124" t="s">
        <v>45</v>
      </c>
      <c r="D25" s="1538"/>
      <c r="E25" s="1538"/>
      <c r="F25" s="1538"/>
      <c r="G25" s="1538"/>
      <c r="H25" s="1538"/>
      <c r="I25" s="1538"/>
      <c r="J25" s="1538"/>
      <c r="K25" s="1548"/>
      <c r="L25" s="125"/>
      <c r="M25" s="125"/>
      <c r="N25" s="125"/>
      <c r="O25" s="125"/>
      <c r="P25" s="209"/>
      <c r="Q25" s="209"/>
      <c r="R25" s="209"/>
      <c r="S25" s="209"/>
      <c r="T25" s="1554"/>
    </row>
    <row r="26" spans="2:20" x14ac:dyDescent="0.2">
      <c r="B26" s="1544">
        <f t="shared" si="0"/>
        <v>16</v>
      </c>
      <c r="C26" s="124" t="s">
        <v>46</v>
      </c>
      <c r="D26" s="1499"/>
      <c r="E26" s="1499"/>
      <c r="F26" s="1499"/>
      <c r="G26" s="1499"/>
      <c r="H26" s="1499"/>
      <c r="I26" s="1499"/>
      <c r="J26" s="1499"/>
      <c r="K26" s="374"/>
      <c r="L26" s="1499" t="s">
        <v>34</v>
      </c>
      <c r="M26" s="127"/>
      <c r="N26" s="127"/>
      <c r="O26" s="125"/>
      <c r="P26" s="209"/>
      <c r="Q26" s="209"/>
      <c r="R26" s="209"/>
      <c r="S26" s="209"/>
      <c r="T26" s="1554"/>
    </row>
    <row r="27" spans="2:20" x14ac:dyDescent="0.2">
      <c r="B27" s="1544">
        <f t="shared" si="0"/>
        <v>17</v>
      </c>
      <c r="C27" s="124" t="s">
        <v>47</v>
      </c>
      <c r="D27" s="96"/>
      <c r="E27" s="96"/>
      <c r="F27" s="96"/>
      <c r="G27" s="96"/>
      <c r="H27" s="96"/>
      <c r="I27" s="96"/>
      <c r="J27" s="96"/>
      <c r="K27" s="336"/>
      <c r="L27" s="96" t="s">
        <v>234</v>
      </c>
      <c r="M27" s="125">
        <f>'felhalm. kiad.  '!M119</f>
        <v>6175</v>
      </c>
      <c r="N27" s="125">
        <f>'felhalm. kiad.  '!P119</f>
        <v>6335</v>
      </c>
      <c r="O27" s="125">
        <f>SUM(M27:N27)</f>
        <v>12510</v>
      </c>
      <c r="P27" s="209"/>
      <c r="Q27" s="209"/>
      <c r="R27" s="1506">
        <f>M27+P27</f>
        <v>6175</v>
      </c>
      <c r="S27" s="1506">
        <f>N27+Q27</f>
        <v>6335</v>
      </c>
      <c r="T27" s="1530">
        <f>R27+S27</f>
        <v>12510</v>
      </c>
    </row>
    <row r="28" spans="2:20" x14ac:dyDescent="0.2">
      <c r="B28" s="1544">
        <f t="shared" si="0"/>
        <v>18</v>
      </c>
      <c r="C28" s="124"/>
      <c r="D28" s="96"/>
      <c r="E28" s="96"/>
      <c r="F28" s="96"/>
      <c r="G28" s="96"/>
      <c r="H28" s="96"/>
      <c r="I28" s="96"/>
      <c r="J28" s="96"/>
      <c r="K28" s="336"/>
      <c r="L28" s="96" t="s">
        <v>31</v>
      </c>
      <c r="M28" s="125"/>
      <c r="N28" s="125"/>
      <c r="O28" s="125"/>
      <c r="P28" s="209"/>
      <c r="Q28" s="209"/>
      <c r="R28" s="209"/>
      <c r="S28" s="209"/>
      <c r="T28" s="1554"/>
    </row>
    <row r="29" spans="2:20" x14ac:dyDescent="0.2">
      <c r="B29" s="1544">
        <f t="shared" si="0"/>
        <v>19</v>
      </c>
      <c r="C29" s="1492" t="s">
        <v>50</v>
      </c>
      <c r="D29" s="96"/>
      <c r="E29" s="96"/>
      <c r="F29" s="96"/>
      <c r="G29" s="96"/>
      <c r="H29" s="96"/>
      <c r="I29" s="96"/>
      <c r="J29" s="96"/>
      <c r="K29" s="336"/>
      <c r="L29" s="96" t="s">
        <v>32</v>
      </c>
      <c r="M29" s="125"/>
      <c r="N29" s="125"/>
      <c r="O29" s="125"/>
      <c r="P29" s="209"/>
      <c r="Q29" s="209"/>
      <c r="R29" s="209"/>
      <c r="S29" s="209"/>
      <c r="T29" s="1554"/>
    </row>
    <row r="30" spans="2:20" s="101" customFormat="1" x14ac:dyDescent="0.2">
      <c r="B30" s="1544">
        <f t="shared" si="0"/>
        <v>20</v>
      </c>
      <c r="C30" s="1492" t="s">
        <v>48</v>
      </c>
      <c r="D30" s="96"/>
      <c r="E30" s="96"/>
      <c r="F30" s="96"/>
      <c r="G30" s="96"/>
      <c r="H30" s="96"/>
      <c r="I30" s="96"/>
      <c r="J30" s="96"/>
      <c r="K30" s="336"/>
      <c r="L30" s="96" t="s">
        <v>462</v>
      </c>
      <c r="M30" s="125"/>
      <c r="N30" s="125"/>
      <c r="O30" s="125"/>
      <c r="P30" s="1508"/>
      <c r="Q30" s="1508"/>
      <c r="R30" s="1508"/>
      <c r="S30" s="1508"/>
      <c r="T30" s="1555"/>
    </row>
    <row r="31" spans="2:20" x14ac:dyDescent="0.2">
      <c r="B31" s="1544">
        <f t="shared" si="0"/>
        <v>21</v>
      </c>
      <c r="C31" s="1492"/>
      <c r="D31" s="96"/>
      <c r="E31" s="96"/>
      <c r="F31" s="96"/>
      <c r="G31" s="96"/>
      <c r="H31" s="96"/>
      <c r="I31" s="96"/>
      <c r="J31" s="96"/>
      <c r="K31" s="336"/>
      <c r="L31" s="96" t="s">
        <v>459</v>
      </c>
      <c r="M31" s="125"/>
      <c r="N31" s="125"/>
      <c r="O31" s="125"/>
      <c r="P31" s="209"/>
      <c r="Q31" s="209"/>
      <c r="R31" s="209"/>
      <c r="S31" s="209"/>
      <c r="T31" s="1554"/>
    </row>
    <row r="32" spans="2:20" s="11" customFormat="1" x14ac:dyDescent="0.2">
      <c r="B32" s="1544">
        <f t="shared" si="0"/>
        <v>22</v>
      </c>
      <c r="C32" s="1495" t="s">
        <v>52</v>
      </c>
      <c r="D32" s="1491">
        <f>D13+D14+D16+D18+D20+D23+D24+D25+D26+D27+D29+D30</f>
        <v>1402</v>
      </c>
      <c r="E32" s="1491">
        <f>E13+E14+E16+E18+E20+E23+E24+E25+E26+E27+E29+E30</f>
        <v>402</v>
      </c>
      <c r="F32" s="1491">
        <f>F13+F14+F16+F18+F20+F23+F24+F25+F26+F27+F29+F30</f>
        <v>1804</v>
      </c>
      <c r="G32" s="1491">
        <f t="shared" ref="G32:K32" si="4">G13+G14+G16+G18+G20+G23+G24+G25+G26+G27+G29+G30</f>
        <v>0</v>
      </c>
      <c r="H32" s="1491">
        <f t="shared" si="4"/>
        <v>0</v>
      </c>
      <c r="I32" s="1491">
        <f t="shared" si="4"/>
        <v>1402</v>
      </c>
      <c r="J32" s="1491">
        <f t="shared" si="4"/>
        <v>402</v>
      </c>
      <c r="K32" s="1549">
        <f t="shared" si="4"/>
        <v>1804</v>
      </c>
      <c r="L32" s="96" t="s">
        <v>455</v>
      </c>
      <c r="M32" s="125"/>
      <c r="N32" s="125"/>
      <c r="O32" s="125"/>
      <c r="P32" s="1512"/>
      <c r="Q32" s="1512"/>
      <c r="R32" s="1512"/>
      <c r="S32" s="1512"/>
      <c r="T32" s="1556"/>
    </row>
    <row r="33" spans="2:20" x14ac:dyDescent="0.2">
      <c r="B33" s="1544">
        <f t="shared" si="0"/>
        <v>23</v>
      </c>
      <c r="C33" s="1525" t="s">
        <v>67</v>
      </c>
      <c r="D33" s="1523"/>
      <c r="E33" s="1523"/>
      <c r="F33" s="1523"/>
      <c r="G33" s="1523"/>
      <c r="H33" s="1523"/>
      <c r="I33" s="1523"/>
      <c r="J33" s="1523"/>
      <c r="K33" s="1551"/>
      <c r="L33" s="1540" t="s">
        <v>68</v>
      </c>
      <c r="M33" s="1511">
        <f>SUM(M27:M32)</f>
        <v>6175</v>
      </c>
      <c r="N33" s="1511">
        <f>SUM(N27:N32)</f>
        <v>6335</v>
      </c>
      <c r="O33" s="1511">
        <f>SUM(O27:O31)</f>
        <v>12510</v>
      </c>
      <c r="P33" s="1508"/>
      <c r="Q33" s="1508"/>
      <c r="R33" s="1523">
        <f>M33+P33</f>
        <v>6175</v>
      </c>
      <c r="S33" s="1523">
        <f>N33+Q33</f>
        <v>6335</v>
      </c>
      <c r="T33" s="1551">
        <f>R33+S33</f>
        <v>12510</v>
      </c>
    </row>
    <row r="34" spans="2:20" x14ac:dyDescent="0.2">
      <c r="B34" s="1544">
        <f t="shared" si="0"/>
        <v>24</v>
      </c>
      <c r="C34" s="129" t="s">
        <v>51</v>
      </c>
      <c r="D34" s="1510">
        <f>SUM(D32:D33)</f>
        <v>1402</v>
      </c>
      <c r="E34" s="1510">
        <f>SUM(E32:E33)</f>
        <v>402</v>
      </c>
      <c r="F34" s="1510">
        <f>SUM(F32:F33)</f>
        <v>1804</v>
      </c>
      <c r="G34" s="1510">
        <f>SUM(G32:G33)</f>
        <v>0</v>
      </c>
      <c r="H34" s="1510">
        <f t="shared" ref="H34:K34" si="5">SUM(H32:H33)</f>
        <v>0</v>
      </c>
      <c r="I34" s="1510">
        <f t="shared" si="5"/>
        <v>1402</v>
      </c>
      <c r="J34" s="1510">
        <f t="shared" si="5"/>
        <v>402</v>
      </c>
      <c r="K34" s="1529">
        <f t="shared" si="5"/>
        <v>1804</v>
      </c>
      <c r="L34" s="127" t="s">
        <v>69</v>
      </c>
      <c r="M34" s="127">
        <f t="shared" ref="M34:T34" si="6">M24+M33</f>
        <v>143743</v>
      </c>
      <c r="N34" s="127">
        <f t="shared" si="6"/>
        <v>174709</v>
      </c>
      <c r="O34" s="127">
        <f t="shared" si="6"/>
        <v>318452</v>
      </c>
      <c r="P34" s="1512">
        <f t="shared" si="6"/>
        <v>448</v>
      </c>
      <c r="Q34" s="1512">
        <f t="shared" si="6"/>
        <v>0</v>
      </c>
      <c r="R34" s="1510">
        <f t="shared" si="6"/>
        <v>144191</v>
      </c>
      <c r="S34" s="1510">
        <f t="shared" si="6"/>
        <v>174709</v>
      </c>
      <c r="T34" s="1529">
        <f t="shared" si="6"/>
        <v>318900</v>
      </c>
    </row>
    <row r="35" spans="2:20" x14ac:dyDescent="0.2">
      <c r="B35" s="1544">
        <f t="shared" si="0"/>
        <v>25</v>
      </c>
      <c r="C35" s="1492"/>
      <c r="D35" s="125"/>
      <c r="E35" s="125"/>
      <c r="F35" s="125"/>
      <c r="G35" s="125"/>
      <c r="H35" s="125"/>
      <c r="I35" s="125"/>
      <c r="J35" s="125"/>
      <c r="K35" s="1552"/>
      <c r="L35" s="125"/>
      <c r="M35" s="125"/>
      <c r="N35" s="125"/>
      <c r="O35" s="125"/>
      <c r="P35" s="209"/>
      <c r="Q35" s="209"/>
      <c r="R35" s="209"/>
      <c r="S35" s="209"/>
      <c r="T35" s="1554"/>
    </row>
    <row r="36" spans="2:20" x14ac:dyDescent="0.2">
      <c r="B36" s="1544">
        <f t="shared" si="0"/>
        <v>26</v>
      </c>
      <c r="C36" s="1492"/>
      <c r="D36" s="125"/>
      <c r="E36" s="125"/>
      <c r="F36" s="125"/>
      <c r="G36" s="125"/>
      <c r="H36" s="125"/>
      <c r="I36" s="125"/>
      <c r="J36" s="125"/>
      <c r="K36" s="1552"/>
      <c r="L36" s="1541"/>
      <c r="M36" s="1541"/>
      <c r="N36" s="1541"/>
      <c r="O36" s="1541"/>
      <c r="P36" s="209"/>
      <c r="Q36" s="209"/>
      <c r="R36" s="209"/>
      <c r="S36" s="209"/>
      <c r="T36" s="1554"/>
    </row>
    <row r="37" spans="2:20" s="11" customFormat="1" x14ac:dyDescent="0.2">
      <c r="B37" s="1544">
        <f t="shared" si="0"/>
        <v>27</v>
      </c>
      <c r="C37" s="1492"/>
      <c r="D37" s="125"/>
      <c r="E37" s="125"/>
      <c r="F37" s="125"/>
      <c r="G37" s="125"/>
      <c r="H37" s="125"/>
      <c r="I37" s="125"/>
      <c r="J37" s="125"/>
      <c r="K37" s="1552"/>
      <c r="L37" s="125"/>
      <c r="M37" s="125"/>
      <c r="N37" s="125"/>
      <c r="O37" s="125"/>
      <c r="P37" s="1512"/>
      <c r="Q37" s="1512"/>
      <c r="R37" s="1512"/>
      <c r="S37" s="1512"/>
      <c r="T37" s="1556"/>
    </row>
    <row r="38" spans="2:20" s="11" customFormat="1" x14ac:dyDescent="0.2">
      <c r="B38" s="1544">
        <f t="shared" si="0"/>
        <v>28</v>
      </c>
      <c r="C38" s="1499" t="s">
        <v>53</v>
      </c>
      <c r="D38" s="1499"/>
      <c r="E38" s="1499"/>
      <c r="F38" s="1499"/>
      <c r="G38" s="1499"/>
      <c r="H38" s="1499"/>
      <c r="I38" s="1499"/>
      <c r="J38" s="1499"/>
      <c r="K38" s="374"/>
      <c r="L38" s="1499" t="s">
        <v>33</v>
      </c>
      <c r="M38" s="127"/>
      <c r="N38" s="127"/>
      <c r="O38" s="127"/>
      <c r="P38" s="1512"/>
      <c r="Q38" s="1512"/>
      <c r="R38" s="1512"/>
      <c r="S38" s="1512"/>
      <c r="T38" s="1556"/>
    </row>
    <row r="39" spans="2:20" s="11" customFormat="1" x14ac:dyDescent="0.2">
      <c r="B39" s="1544">
        <f t="shared" si="0"/>
        <v>29</v>
      </c>
      <c r="C39" s="1500" t="s">
        <v>710</v>
      </c>
      <c r="D39" s="1499"/>
      <c r="E39" s="1499"/>
      <c r="F39" s="1499"/>
      <c r="G39" s="1499"/>
      <c r="H39" s="1499"/>
      <c r="I39" s="1499"/>
      <c r="J39" s="1499"/>
      <c r="K39" s="374"/>
      <c r="L39" s="1500" t="s">
        <v>4</v>
      </c>
      <c r="M39" s="127"/>
      <c r="N39" s="129"/>
      <c r="O39" s="129"/>
      <c r="P39" s="1512"/>
      <c r="Q39" s="1512"/>
      <c r="R39" s="1512"/>
      <c r="S39" s="1512"/>
      <c r="T39" s="1556"/>
    </row>
    <row r="40" spans="2:20" s="11" customFormat="1" x14ac:dyDescent="0.2">
      <c r="B40" s="1544">
        <f t="shared" si="0"/>
        <v>30</v>
      </c>
      <c r="C40" s="1492" t="s">
        <v>995</v>
      </c>
      <c r="D40" s="1499"/>
      <c r="E40" s="1499"/>
      <c r="F40" s="1499"/>
      <c r="G40" s="1499"/>
      <c r="H40" s="1499"/>
      <c r="I40" s="1499"/>
      <c r="J40" s="1499"/>
      <c r="K40" s="374"/>
      <c r="L40" s="124" t="s">
        <v>3</v>
      </c>
      <c r="M40" s="127"/>
      <c r="N40" s="127"/>
      <c r="O40" s="127"/>
      <c r="P40" s="1512"/>
      <c r="Q40" s="1512"/>
      <c r="R40" s="1512"/>
      <c r="S40" s="1512"/>
      <c r="T40" s="1556"/>
    </row>
    <row r="41" spans="2:20" x14ac:dyDescent="0.2">
      <c r="B41" s="1544">
        <f t="shared" si="0"/>
        <v>31</v>
      </c>
      <c r="C41" s="96" t="s">
        <v>712</v>
      </c>
      <c r="D41" s="1543"/>
      <c r="E41" s="1543"/>
      <c r="F41" s="1543"/>
      <c r="G41" s="1543"/>
      <c r="H41" s="1543"/>
      <c r="I41" s="1543"/>
      <c r="J41" s="1543"/>
      <c r="K41" s="1553"/>
      <c r="L41" s="96" t="s">
        <v>5</v>
      </c>
      <c r="M41" s="127"/>
      <c r="N41" s="127"/>
      <c r="O41" s="127"/>
      <c r="P41" s="209"/>
      <c r="Q41" s="209"/>
      <c r="R41" s="209"/>
      <c r="S41" s="209"/>
      <c r="T41" s="1554"/>
    </row>
    <row r="42" spans="2:20" x14ac:dyDescent="0.2">
      <c r="B42" s="1544">
        <f t="shared" si="0"/>
        <v>32</v>
      </c>
      <c r="C42" s="96" t="s">
        <v>215</v>
      </c>
      <c r="D42" s="96"/>
      <c r="E42" s="96"/>
      <c r="F42" s="96"/>
      <c r="G42" s="96"/>
      <c r="H42" s="96"/>
      <c r="I42" s="96"/>
      <c r="J42" s="96"/>
      <c r="K42" s="336"/>
      <c r="L42" s="96" t="s">
        <v>6</v>
      </c>
      <c r="M42" s="127"/>
      <c r="N42" s="127"/>
      <c r="O42" s="127"/>
      <c r="P42" s="209"/>
      <c r="Q42" s="209"/>
      <c r="R42" s="209"/>
      <c r="S42" s="209"/>
      <c r="T42" s="1554"/>
    </row>
    <row r="43" spans="2:20" x14ac:dyDescent="0.2">
      <c r="B43" s="1544">
        <f t="shared" si="0"/>
        <v>33</v>
      </c>
      <c r="C43" s="1505" t="s">
        <v>216</v>
      </c>
      <c r="D43" s="96">
        <v>712</v>
      </c>
      <c r="E43" s="96">
        <v>15744</v>
      </c>
      <c r="F43" s="96">
        <f>D43+E43</f>
        <v>16456</v>
      </c>
      <c r="G43" s="96"/>
      <c r="H43" s="96"/>
      <c r="I43" s="96">
        <f>D43+G43</f>
        <v>712</v>
      </c>
      <c r="J43" s="96">
        <f>E43+H43</f>
        <v>15744</v>
      </c>
      <c r="K43" s="336">
        <f>I43+J43</f>
        <v>16456</v>
      </c>
      <c r="L43" s="96" t="s">
        <v>7</v>
      </c>
      <c r="M43" s="127"/>
      <c r="N43" s="127"/>
      <c r="O43" s="127"/>
      <c r="P43" s="209"/>
      <c r="Q43" s="209"/>
      <c r="R43" s="209"/>
      <c r="S43" s="209"/>
      <c r="T43" s="1554"/>
    </row>
    <row r="44" spans="2:20" x14ac:dyDescent="0.2">
      <c r="B44" s="1544">
        <f t="shared" si="0"/>
        <v>34</v>
      </c>
      <c r="C44" s="1505" t="s">
        <v>993</v>
      </c>
      <c r="D44" s="96"/>
      <c r="E44" s="96"/>
      <c r="F44" s="96"/>
      <c r="G44" s="96"/>
      <c r="H44" s="96"/>
      <c r="I44" s="96"/>
      <c r="J44" s="96"/>
      <c r="K44" s="336"/>
      <c r="L44" s="96"/>
      <c r="M44" s="127"/>
      <c r="N44" s="127"/>
      <c r="O44" s="127"/>
      <c r="P44" s="209"/>
      <c r="Q44" s="209"/>
      <c r="R44" s="209"/>
      <c r="S44" s="209"/>
      <c r="T44" s="1554"/>
    </row>
    <row r="45" spans="2:20" x14ac:dyDescent="0.2">
      <c r="B45" s="1544">
        <f t="shared" si="0"/>
        <v>35</v>
      </c>
      <c r="C45" s="96" t="s">
        <v>713</v>
      </c>
      <c r="D45" s="96"/>
      <c r="E45" s="96"/>
      <c r="F45" s="96"/>
      <c r="G45" s="96"/>
      <c r="H45" s="96"/>
      <c r="I45" s="96"/>
      <c r="J45" s="96"/>
      <c r="K45" s="336"/>
      <c r="L45" s="96" t="s">
        <v>8</v>
      </c>
      <c r="M45" s="127"/>
      <c r="N45" s="127"/>
      <c r="O45" s="125"/>
      <c r="P45" s="209"/>
      <c r="Q45" s="209"/>
      <c r="R45" s="209"/>
      <c r="S45" s="209"/>
      <c r="T45" s="1554"/>
    </row>
    <row r="46" spans="2:20" x14ac:dyDescent="0.2">
      <c r="B46" s="1544">
        <f t="shared" si="0"/>
        <v>36</v>
      </c>
      <c r="C46" s="96" t="s">
        <v>714</v>
      </c>
      <c r="D46" s="1499"/>
      <c r="E46" s="1499"/>
      <c r="F46" s="1499"/>
      <c r="G46" s="1499"/>
      <c r="H46" s="1499"/>
      <c r="I46" s="1499"/>
      <c r="J46" s="1499"/>
      <c r="K46" s="374"/>
      <c r="L46" s="96" t="s">
        <v>9</v>
      </c>
      <c r="M46" s="127"/>
      <c r="N46" s="127"/>
      <c r="O46" s="125"/>
      <c r="P46" s="209"/>
      <c r="Q46" s="209"/>
      <c r="R46" s="209"/>
      <c r="S46" s="209"/>
      <c r="T46" s="1554"/>
    </row>
    <row r="47" spans="2:20" x14ac:dyDescent="0.2">
      <c r="B47" s="1544">
        <f t="shared" si="0"/>
        <v>37</v>
      </c>
      <c r="C47" s="96" t="s">
        <v>219</v>
      </c>
      <c r="D47" s="96"/>
      <c r="E47" s="96"/>
      <c r="F47" s="96"/>
      <c r="G47" s="96"/>
      <c r="H47" s="96"/>
      <c r="I47" s="96"/>
      <c r="J47" s="96"/>
      <c r="K47" s="336"/>
      <c r="L47" s="96" t="s">
        <v>10</v>
      </c>
      <c r="M47" s="125"/>
      <c r="N47" s="125"/>
      <c r="O47" s="125"/>
      <c r="P47" s="209"/>
      <c r="Q47" s="209"/>
      <c r="R47" s="209"/>
      <c r="S47" s="209"/>
      <c r="T47" s="1554"/>
    </row>
    <row r="48" spans="2:20" x14ac:dyDescent="0.2">
      <c r="B48" s="1544">
        <f t="shared" si="0"/>
        <v>38</v>
      </c>
      <c r="C48" s="1505" t="s">
        <v>220</v>
      </c>
      <c r="D48" s="203">
        <f>M24-(D34+D43)</f>
        <v>135454</v>
      </c>
      <c r="E48" s="203">
        <f>N24-(E34+E43)</f>
        <v>152228</v>
      </c>
      <c r="F48" s="203">
        <f>O24-(F34+F43)</f>
        <v>287682</v>
      </c>
      <c r="G48" s="203">
        <f>P24-(G34+G43)</f>
        <v>448</v>
      </c>
      <c r="H48" s="203">
        <f t="shared" ref="H48:K48" si="7">Q24-(H34+H43)</f>
        <v>0</v>
      </c>
      <c r="I48" s="203">
        <f t="shared" si="7"/>
        <v>135902</v>
      </c>
      <c r="J48" s="203">
        <f t="shared" si="7"/>
        <v>152228</v>
      </c>
      <c r="K48" s="349">
        <f t="shared" si="7"/>
        <v>288130</v>
      </c>
      <c r="L48" s="96" t="s">
        <v>11</v>
      </c>
      <c r="M48" s="125"/>
      <c r="N48" s="125"/>
      <c r="O48" s="125"/>
      <c r="P48" s="209"/>
      <c r="Q48" s="209"/>
      <c r="R48" s="209"/>
      <c r="S48" s="209"/>
      <c r="T48" s="1554"/>
    </row>
    <row r="49" spans="2:20" x14ac:dyDescent="0.2">
      <c r="B49" s="1544">
        <f t="shared" si="0"/>
        <v>39</v>
      </c>
      <c r="C49" s="1505" t="s">
        <v>221</v>
      </c>
      <c r="D49" s="96">
        <f>M33-D33</f>
        <v>6175</v>
      </c>
      <c r="E49" s="96">
        <f>N33-E33</f>
        <v>6335</v>
      </c>
      <c r="F49" s="96">
        <f>O33-F33</f>
        <v>12510</v>
      </c>
      <c r="G49" s="96">
        <f>P33-G33</f>
        <v>0</v>
      </c>
      <c r="H49" s="96">
        <f t="shared" ref="H49:K49" si="8">Q33-H33</f>
        <v>0</v>
      </c>
      <c r="I49" s="96">
        <f t="shared" si="8"/>
        <v>6175</v>
      </c>
      <c r="J49" s="96">
        <f t="shared" si="8"/>
        <v>6335</v>
      </c>
      <c r="K49" s="336">
        <f t="shared" si="8"/>
        <v>12510</v>
      </c>
      <c r="L49" s="96" t="s">
        <v>12</v>
      </c>
      <c r="M49" s="125"/>
      <c r="N49" s="125"/>
      <c r="O49" s="125"/>
      <c r="P49" s="209"/>
      <c r="Q49" s="209"/>
      <c r="R49" s="209"/>
      <c r="S49" s="209"/>
      <c r="T49" s="1554"/>
    </row>
    <row r="50" spans="2:20" x14ac:dyDescent="0.2">
      <c r="B50" s="1544">
        <f t="shared" si="0"/>
        <v>40</v>
      </c>
      <c r="C50" s="96" t="s">
        <v>1</v>
      </c>
      <c r="D50" s="96"/>
      <c r="E50" s="96"/>
      <c r="F50" s="96"/>
      <c r="G50" s="96"/>
      <c r="H50" s="96"/>
      <c r="I50" s="96"/>
      <c r="J50" s="96"/>
      <c r="K50" s="336"/>
      <c r="L50" s="96" t="s">
        <v>13</v>
      </c>
      <c r="M50" s="125"/>
      <c r="N50" s="125"/>
      <c r="O50" s="125"/>
      <c r="P50" s="209"/>
      <c r="Q50" s="209"/>
      <c r="R50" s="209"/>
      <c r="S50" s="209"/>
      <c r="T50" s="1554"/>
    </row>
    <row r="51" spans="2:20" x14ac:dyDescent="0.2">
      <c r="B51" s="1544">
        <f t="shared" si="0"/>
        <v>41</v>
      </c>
      <c r="C51" s="96"/>
      <c r="D51" s="96"/>
      <c r="E51" s="96"/>
      <c r="F51" s="96"/>
      <c r="G51" s="96"/>
      <c r="H51" s="96"/>
      <c r="I51" s="96"/>
      <c r="J51" s="96"/>
      <c r="K51" s="336"/>
      <c r="L51" s="96" t="s">
        <v>14</v>
      </c>
      <c r="M51" s="125"/>
      <c r="N51" s="125"/>
      <c r="O51" s="125"/>
      <c r="P51" s="209"/>
      <c r="Q51" s="209"/>
      <c r="R51" s="209"/>
      <c r="S51" s="209"/>
      <c r="T51" s="1554"/>
    </row>
    <row r="52" spans="2:20" x14ac:dyDescent="0.2">
      <c r="B52" s="1544">
        <f t="shared" si="0"/>
        <v>42</v>
      </c>
      <c r="C52" s="96"/>
      <c r="D52" s="96"/>
      <c r="E52" s="96"/>
      <c r="F52" s="96"/>
      <c r="G52" s="96"/>
      <c r="H52" s="96"/>
      <c r="I52" s="96"/>
      <c r="J52" s="96"/>
      <c r="K52" s="336"/>
      <c r="L52" s="96" t="s">
        <v>15</v>
      </c>
      <c r="M52" s="125"/>
      <c r="N52" s="125"/>
      <c r="O52" s="125"/>
      <c r="P52" s="209"/>
      <c r="Q52" s="209"/>
      <c r="R52" s="209"/>
      <c r="S52" s="209"/>
      <c r="T52" s="1554"/>
    </row>
    <row r="53" spans="2:20" ht="12" thickBot="1" x14ac:dyDescent="0.25">
      <c r="B53" s="1544">
        <f t="shared" si="0"/>
        <v>43</v>
      </c>
      <c r="C53" s="129" t="s">
        <v>463</v>
      </c>
      <c r="D53" s="1499">
        <f>SUM(D39:D51)</f>
        <v>142341</v>
      </c>
      <c r="E53" s="1499">
        <f>SUM(E39:E51)</f>
        <v>174307</v>
      </c>
      <c r="F53" s="1499">
        <f>SUM(F39:F51)</f>
        <v>316648</v>
      </c>
      <c r="G53" s="1499">
        <f t="shared" ref="G53:K53" si="9">SUM(G39:G51)</f>
        <v>448</v>
      </c>
      <c r="H53" s="1499">
        <f t="shared" si="9"/>
        <v>0</v>
      </c>
      <c r="I53" s="1499">
        <f t="shared" si="9"/>
        <v>142789</v>
      </c>
      <c r="J53" s="1499">
        <f t="shared" si="9"/>
        <v>174307</v>
      </c>
      <c r="K53" s="374">
        <f t="shared" si="9"/>
        <v>317096</v>
      </c>
      <c r="L53" s="1499" t="s">
        <v>456</v>
      </c>
      <c r="M53" s="127">
        <f>SUM(M39:M52)</f>
        <v>0</v>
      </c>
      <c r="N53" s="127">
        <f>SUM(N39:N52)</f>
        <v>0</v>
      </c>
      <c r="O53" s="127">
        <f>SUM(O39:O52)</f>
        <v>0</v>
      </c>
      <c r="P53" s="209"/>
      <c r="Q53" s="209"/>
      <c r="R53" s="209"/>
      <c r="S53" s="209"/>
      <c r="T53" s="1554"/>
    </row>
    <row r="54" spans="2:20" ht="12" thickBot="1" x14ac:dyDescent="0.25">
      <c r="B54" s="710">
        <f t="shared" si="0"/>
        <v>44</v>
      </c>
      <c r="C54" s="709" t="s">
        <v>458</v>
      </c>
      <c r="D54" s="700">
        <f>D34+D53</f>
        <v>143743</v>
      </c>
      <c r="E54" s="700">
        <f>E34+E53</f>
        <v>174709</v>
      </c>
      <c r="F54" s="700">
        <f>F34+F53</f>
        <v>318452</v>
      </c>
      <c r="G54" s="700">
        <f t="shared" ref="G54:K54" si="10">G34+G53</f>
        <v>448</v>
      </c>
      <c r="H54" s="700">
        <f t="shared" si="10"/>
        <v>0</v>
      </c>
      <c r="I54" s="700">
        <f t="shared" si="10"/>
        <v>144191</v>
      </c>
      <c r="J54" s="700">
        <f t="shared" si="10"/>
        <v>174709</v>
      </c>
      <c r="K54" s="700">
        <f t="shared" si="10"/>
        <v>318900</v>
      </c>
      <c r="L54" s="1520" t="s">
        <v>457</v>
      </c>
      <c r="M54" s="700">
        <f>M34+M53</f>
        <v>143743</v>
      </c>
      <c r="N54" s="700">
        <f>N34+N53</f>
        <v>174709</v>
      </c>
      <c r="O54" s="700">
        <f>O34+O53</f>
        <v>318452</v>
      </c>
      <c r="P54" s="711">
        <f>P24+P33+P53</f>
        <v>448</v>
      </c>
      <c r="Q54" s="711">
        <f>Q24+Q33+Q53</f>
        <v>0</v>
      </c>
      <c r="R54" s="708">
        <f t="shared" ref="R54:T54" si="11">R24+R33+R53</f>
        <v>144191</v>
      </c>
      <c r="S54" s="708">
        <f t="shared" si="11"/>
        <v>174709</v>
      </c>
      <c r="T54" s="1561">
        <f t="shared" si="11"/>
        <v>318900</v>
      </c>
    </row>
    <row r="55" spans="2:20" x14ac:dyDescent="0.2">
      <c r="C55" s="131"/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30"/>
      <c r="O55" s="130"/>
      <c r="T55" s="209"/>
    </row>
  </sheetData>
  <sheetProtection selectLockedCells="1" selectUnlockedCells="1"/>
  <mergeCells count="16">
    <mergeCell ref="D8:K8"/>
    <mergeCell ref="D1:T1"/>
    <mergeCell ref="P9:Q9"/>
    <mergeCell ref="R9:T9"/>
    <mergeCell ref="M8:T8"/>
    <mergeCell ref="B7:T7"/>
    <mergeCell ref="C6:T6"/>
    <mergeCell ref="B8:B10"/>
    <mergeCell ref="C8:C9"/>
    <mergeCell ref="D9:F9"/>
    <mergeCell ref="M9:O9"/>
    <mergeCell ref="L8:L9"/>
    <mergeCell ref="G9:H9"/>
    <mergeCell ref="I9:K9"/>
    <mergeCell ref="C5:T5"/>
    <mergeCell ref="C4:T4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90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145" customWidth="1"/>
    <col min="2" max="2" width="33" style="93" customWidth="1"/>
    <col min="3" max="3" width="10.7109375" style="95" customWidth="1"/>
    <col min="4" max="4" width="12.28515625" style="95" customWidth="1"/>
    <col min="5" max="5" width="9.140625" style="95"/>
    <col min="6" max="6" width="11.28515625" style="95" customWidth="1"/>
    <col min="7" max="7" width="11.140625" style="95" customWidth="1"/>
    <col min="8" max="10" width="10" style="95" customWidth="1"/>
    <col min="11" max="11" width="11.28515625" style="95" customWidth="1"/>
    <col min="12" max="12" width="7.28515625" style="213" hidden="1" customWidth="1"/>
    <col min="13" max="13" width="8.5703125" style="213" hidden="1" customWidth="1"/>
    <col min="14" max="14" width="7.5703125" style="213" hidden="1" customWidth="1"/>
    <col min="15" max="15" width="8.28515625" style="213" hidden="1" customWidth="1"/>
    <col min="16" max="16" width="5.7109375" style="213" hidden="1" customWidth="1"/>
    <col min="17" max="17" width="8" style="213" hidden="1" customWidth="1"/>
    <col min="18" max="18" width="6.140625" style="213" hidden="1" customWidth="1"/>
    <col min="19" max="19" width="4.42578125" style="411" customWidth="1"/>
    <col min="20" max="16384" width="9.140625" style="77"/>
  </cols>
  <sheetData>
    <row r="1" spans="1:19" ht="17.25" customHeight="1" x14ac:dyDescent="0.2">
      <c r="B1" s="1362" t="s">
        <v>301</v>
      </c>
      <c r="C1" s="1362"/>
      <c r="D1" s="1362"/>
      <c r="E1" s="1362"/>
      <c r="F1" s="1362"/>
      <c r="G1" s="1362"/>
      <c r="H1" s="1362"/>
      <c r="I1" s="1362"/>
      <c r="J1" s="1362"/>
      <c r="K1" s="1370"/>
      <c r="L1" s="1269"/>
      <c r="M1" s="1269"/>
      <c r="N1" s="1269"/>
      <c r="O1" s="1269"/>
      <c r="P1" s="1269"/>
      <c r="Q1" s="1269"/>
      <c r="R1" s="1269"/>
    </row>
    <row r="2" spans="1:19" ht="13.5" customHeight="1" x14ac:dyDescent="0.2">
      <c r="A2" s="1372" t="s">
        <v>87</v>
      </c>
      <c r="B2" s="1372"/>
      <c r="C2" s="1372"/>
      <c r="D2" s="1372"/>
      <c r="E2" s="1372"/>
      <c r="F2" s="1372"/>
      <c r="G2" s="1372"/>
      <c r="H2" s="1372"/>
      <c r="I2" s="1372"/>
      <c r="J2" s="1372"/>
      <c r="K2" s="1372"/>
      <c r="L2" s="77"/>
      <c r="M2" s="77"/>
      <c r="N2" s="77"/>
      <c r="O2" s="77"/>
      <c r="P2" s="77"/>
      <c r="Q2" s="77"/>
      <c r="R2" s="77"/>
      <c r="S2" s="400"/>
    </row>
    <row r="3" spans="1:19" s="79" customFormat="1" ht="12" customHeight="1" x14ac:dyDescent="0.2">
      <c r="A3" s="1215" t="s">
        <v>299</v>
      </c>
      <c r="B3" s="1371"/>
      <c r="C3" s="1371"/>
      <c r="D3" s="1371"/>
      <c r="E3" s="1371"/>
      <c r="F3" s="1371"/>
      <c r="G3" s="1371"/>
      <c r="H3" s="1371"/>
      <c r="I3" s="1371"/>
      <c r="J3" s="1371"/>
      <c r="K3" s="1371"/>
      <c r="L3" s="1269"/>
      <c r="M3" s="1269"/>
      <c r="N3" s="1269"/>
      <c r="O3" s="1269"/>
      <c r="P3" s="1269"/>
      <c r="Q3" s="1269"/>
      <c r="R3" s="1269"/>
      <c r="S3" s="412"/>
    </row>
    <row r="4" spans="1:19" s="79" customFormat="1" ht="23.25" customHeight="1" thickBot="1" x14ac:dyDescent="0.25">
      <c r="A4" s="146"/>
      <c r="B4" s="147"/>
      <c r="C4" s="148"/>
      <c r="D4" s="148"/>
      <c r="E4" s="148"/>
      <c r="F4" s="148"/>
      <c r="G4" s="1373" t="s">
        <v>311</v>
      </c>
      <c r="H4" s="1373"/>
      <c r="I4" s="1373"/>
      <c r="J4" s="1373"/>
      <c r="K4" s="1373"/>
      <c r="L4" s="242"/>
      <c r="M4" s="242"/>
      <c r="N4" s="242"/>
      <c r="O4" s="242"/>
      <c r="P4" s="242"/>
      <c r="Q4" s="242"/>
      <c r="R4" s="242"/>
      <c r="S4" s="412"/>
    </row>
    <row r="5" spans="1:19" s="94" customFormat="1" ht="17.25" customHeight="1" thickBot="1" x14ac:dyDescent="0.25">
      <c r="A5" s="1377" t="s">
        <v>484</v>
      </c>
      <c r="B5" s="1375" t="s">
        <v>549</v>
      </c>
      <c r="C5" s="1357" t="s">
        <v>57</v>
      </c>
      <c r="D5" s="1357"/>
      <c r="E5" s="1357" t="s">
        <v>58</v>
      </c>
      <c r="F5" s="1357"/>
      <c r="G5" s="1357" t="s">
        <v>59</v>
      </c>
      <c r="H5" s="1357"/>
      <c r="I5" s="1378" t="s">
        <v>60</v>
      </c>
      <c r="J5" s="1361"/>
      <c r="K5" s="149" t="s">
        <v>485</v>
      </c>
      <c r="L5" s="212"/>
      <c r="S5" s="400"/>
    </row>
    <row r="6" spans="1:19" s="94" customFormat="1" ht="17.25" customHeight="1" thickBot="1" x14ac:dyDescent="0.25">
      <c r="A6" s="1377"/>
      <c r="B6" s="1375"/>
      <c r="C6" s="1246" t="s">
        <v>298</v>
      </c>
      <c r="D6" s="1366"/>
      <c r="E6" s="1366"/>
      <c r="F6" s="1366"/>
      <c r="G6" s="1366"/>
      <c r="H6" s="1366"/>
      <c r="I6" s="1366"/>
      <c r="J6" s="1366"/>
      <c r="K6" s="1376"/>
      <c r="L6" s="212"/>
      <c r="S6" s="400"/>
    </row>
    <row r="7" spans="1:19" ht="40.15" customHeight="1" thickBot="1" x14ac:dyDescent="0.25">
      <c r="A7" s="1377"/>
      <c r="B7" s="1375"/>
      <c r="C7" s="1345" t="s">
        <v>467</v>
      </c>
      <c r="D7" s="1345"/>
      <c r="E7" s="1345" t="s">
        <v>468</v>
      </c>
      <c r="F7" s="1345"/>
      <c r="G7" s="1345" t="s">
        <v>22</v>
      </c>
      <c r="H7" s="1345"/>
      <c r="I7" s="1346" t="s">
        <v>261</v>
      </c>
      <c r="J7" s="1347"/>
      <c r="K7" s="1374" t="s">
        <v>550</v>
      </c>
      <c r="M7" s="77"/>
      <c r="N7" s="77"/>
      <c r="O7" s="77"/>
      <c r="P7" s="77"/>
      <c r="Q7" s="77"/>
      <c r="R7" s="77"/>
      <c r="S7" s="400"/>
    </row>
    <row r="8" spans="1:19" ht="50.25" customHeight="1" thickBot="1" x14ac:dyDescent="0.25">
      <c r="A8" s="1377"/>
      <c r="B8" s="1375"/>
      <c r="C8" s="1345"/>
      <c r="D8" s="1345"/>
      <c r="E8" s="1345"/>
      <c r="F8" s="1345"/>
      <c r="G8" s="1345"/>
      <c r="H8" s="1345"/>
      <c r="I8" s="1348"/>
      <c r="J8" s="1349"/>
      <c r="K8" s="1374"/>
      <c r="M8" s="77"/>
      <c r="N8" s="77"/>
      <c r="O8" s="77"/>
      <c r="P8" s="77"/>
      <c r="Q8" s="77"/>
      <c r="R8" s="77"/>
      <c r="S8" s="400"/>
    </row>
    <row r="9" spans="1:19" ht="33" customHeight="1" thickBot="1" x14ac:dyDescent="0.25">
      <c r="A9" s="1377"/>
      <c r="B9" s="1375"/>
      <c r="C9" s="150" t="s">
        <v>62</v>
      </c>
      <c r="D9" s="151" t="s">
        <v>63</v>
      </c>
      <c r="E9" s="150" t="s">
        <v>62</v>
      </c>
      <c r="F9" s="150" t="s">
        <v>63</v>
      </c>
      <c r="G9" s="150" t="s">
        <v>62</v>
      </c>
      <c r="H9" s="150" t="s">
        <v>63</v>
      </c>
      <c r="I9" s="150" t="s">
        <v>62</v>
      </c>
      <c r="J9" s="150" t="s">
        <v>63</v>
      </c>
      <c r="K9" s="1374"/>
      <c r="M9" s="77"/>
      <c r="N9" s="77"/>
      <c r="O9" s="77"/>
      <c r="P9" s="77"/>
      <c r="Q9" s="77"/>
      <c r="R9" s="77"/>
      <c r="S9" s="400"/>
    </row>
    <row r="10" spans="1:19" ht="17.25" customHeight="1" x14ac:dyDescent="0.2">
      <c r="A10" s="152" t="s">
        <v>494</v>
      </c>
      <c r="B10" s="153" t="s">
        <v>251</v>
      </c>
      <c r="C10" s="154">
        <v>1600</v>
      </c>
      <c r="E10" s="155"/>
      <c r="F10" s="156"/>
      <c r="G10" s="155"/>
      <c r="H10" s="372"/>
      <c r="I10" s="156"/>
      <c r="J10" s="156"/>
      <c r="K10" s="157">
        <f t="shared" ref="K10:K39" si="0">SUM(C10:J10)</f>
        <v>1600</v>
      </c>
      <c r="M10" s="77"/>
      <c r="N10" s="77"/>
      <c r="O10" s="77"/>
      <c r="P10" s="77"/>
      <c r="Q10" s="77"/>
      <c r="R10" s="77"/>
      <c r="S10" s="400"/>
    </row>
    <row r="11" spans="1:19" s="78" customFormat="1" ht="17.25" customHeight="1" x14ac:dyDescent="0.2">
      <c r="A11" s="152" t="s">
        <v>502</v>
      </c>
      <c r="B11" s="368" t="s">
        <v>252</v>
      </c>
      <c r="C11" s="369">
        <v>33533</v>
      </c>
      <c r="D11" s="370"/>
      <c r="E11" s="421">
        <f>'közhatalmi bevételek'!D26</f>
        <v>9000</v>
      </c>
      <c r="F11" s="158"/>
      <c r="G11" s="159"/>
      <c r="H11" s="373"/>
      <c r="I11" s="158"/>
      <c r="J11" s="158"/>
      <c r="K11" s="157">
        <f t="shared" si="0"/>
        <v>42533</v>
      </c>
      <c r="L11" s="203"/>
      <c r="S11" s="413"/>
    </row>
    <row r="12" spans="1:19" ht="17.25" customHeight="1" x14ac:dyDescent="0.2">
      <c r="A12" s="152" t="s">
        <v>503</v>
      </c>
      <c r="B12" s="124" t="s">
        <v>253</v>
      </c>
      <c r="C12" s="107"/>
      <c r="D12" s="96">
        <v>53</v>
      </c>
      <c r="E12" s="97"/>
      <c r="F12" s="96"/>
      <c r="G12" s="97"/>
      <c r="H12" s="336"/>
      <c r="I12" s="96"/>
      <c r="J12" s="96"/>
      <c r="K12" s="157">
        <f t="shared" si="0"/>
        <v>53</v>
      </c>
      <c r="M12" s="77"/>
      <c r="N12" s="77"/>
      <c r="O12" s="77"/>
      <c r="P12" s="77"/>
      <c r="Q12" s="77"/>
      <c r="R12" s="77"/>
      <c r="S12" s="400"/>
    </row>
    <row r="13" spans="1:19" ht="17.25" customHeight="1" x14ac:dyDescent="0.2">
      <c r="A13" s="152" t="s">
        <v>504</v>
      </c>
      <c r="B13" s="124" t="s">
        <v>254</v>
      </c>
      <c r="C13" s="107"/>
      <c r="D13" s="96">
        <v>391</v>
      </c>
      <c r="E13" s="97"/>
      <c r="F13" s="96"/>
      <c r="G13" s="97"/>
      <c r="H13" s="374"/>
      <c r="I13" s="160"/>
      <c r="J13" s="160"/>
      <c r="K13" s="157">
        <f t="shared" si="0"/>
        <v>391</v>
      </c>
      <c r="M13" s="77"/>
      <c r="N13" s="77"/>
      <c r="O13" s="77"/>
      <c r="P13" s="77"/>
      <c r="Q13" s="77"/>
      <c r="R13" s="77"/>
      <c r="S13" s="400"/>
    </row>
    <row r="14" spans="1:19" ht="17.25" customHeight="1" x14ac:dyDescent="0.2">
      <c r="A14" s="152" t="s">
        <v>505</v>
      </c>
      <c r="B14" s="124" t="s">
        <v>255</v>
      </c>
      <c r="C14" s="107"/>
      <c r="D14" s="96"/>
      <c r="E14" s="97"/>
      <c r="F14" s="96"/>
      <c r="G14" s="97"/>
      <c r="H14" s="374"/>
      <c r="I14" s="160"/>
      <c r="J14" s="160"/>
      <c r="K14" s="157">
        <f t="shared" si="0"/>
        <v>0</v>
      </c>
      <c r="M14" s="77"/>
      <c r="N14" s="77"/>
      <c r="O14" s="77"/>
      <c r="P14" s="77"/>
      <c r="Q14" s="77"/>
      <c r="R14" s="77"/>
      <c r="S14" s="400"/>
    </row>
    <row r="15" spans="1:19" ht="17.25" customHeight="1" x14ac:dyDescent="0.2">
      <c r="A15" s="152" t="s">
        <v>506</v>
      </c>
      <c r="B15" s="124" t="s">
        <v>256</v>
      </c>
      <c r="C15" s="107"/>
      <c r="D15" s="96">
        <v>20031</v>
      </c>
      <c r="E15" s="97"/>
      <c r="F15" s="96"/>
      <c r="G15" s="97"/>
      <c r="H15" s="374"/>
      <c r="I15" s="160"/>
      <c r="J15" s="160"/>
      <c r="K15" s="157">
        <f t="shared" si="0"/>
        <v>20031</v>
      </c>
      <c r="M15" s="77"/>
      <c r="N15" s="77"/>
      <c r="O15" s="77"/>
      <c r="P15" s="77"/>
      <c r="Q15" s="77"/>
      <c r="R15" s="77"/>
      <c r="S15" s="400"/>
    </row>
    <row r="16" spans="1:19" ht="17.25" customHeight="1" x14ac:dyDescent="0.2">
      <c r="A16" s="152" t="s">
        <v>507</v>
      </c>
      <c r="B16" s="124" t="s">
        <v>257</v>
      </c>
      <c r="C16" s="107">
        <v>3600</v>
      </c>
      <c r="D16" s="96">
        <v>8084</v>
      </c>
      <c r="E16" s="97"/>
      <c r="F16" s="96"/>
      <c r="G16" s="97"/>
      <c r="H16" s="374"/>
      <c r="I16" s="160"/>
      <c r="J16" s="160"/>
      <c r="K16" s="157">
        <f t="shared" si="0"/>
        <v>11684</v>
      </c>
      <c r="M16" s="77"/>
      <c r="N16" s="77"/>
      <c r="O16" s="77"/>
      <c r="P16" s="77"/>
      <c r="Q16" s="77"/>
      <c r="R16" s="77"/>
      <c r="S16" s="400"/>
    </row>
    <row r="17" spans="1:19" ht="17.25" customHeight="1" x14ac:dyDescent="0.2">
      <c r="A17" s="152" t="s">
        <v>508</v>
      </c>
      <c r="B17" s="124" t="s">
        <v>258</v>
      </c>
      <c r="C17" s="107"/>
      <c r="D17" s="96">
        <v>10160</v>
      </c>
      <c r="E17" s="97"/>
      <c r="F17" s="96"/>
      <c r="G17" s="97"/>
      <c r="H17" s="374"/>
      <c r="I17" s="160"/>
      <c r="J17" s="160"/>
      <c r="K17" s="157">
        <f t="shared" si="0"/>
        <v>10160</v>
      </c>
      <c r="M17" s="77"/>
      <c r="N17" s="77"/>
      <c r="O17" s="77"/>
      <c r="P17" s="77"/>
      <c r="Q17" s="77"/>
      <c r="R17" s="77"/>
      <c r="S17" s="400"/>
    </row>
    <row r="18" spans="1:19" ht="17.25" customHeight="1" x14ac:dyDescent="0.2">
      <c r="A18" s="152" t="s">
        <v>509</v>
      </c>
      <c r="B18" s="124" t="s">
        <v>259</v>
      </c>
      <c r="C18" s="107">
        <v>183</v>
      </c>
      <c r="D18" s="96"/>
      <c r="E18" s="97"/>
      <c r="F18" s="96"/>
      <c r="G18" s="97"/>
      <c r="H18" s="374"/>
      <c r="I18" s="160"/>
      <c r="J18" s="160"/>
      <c r="K18" s="157">
        <f t="shared" si="0"/>
        <v>183</v>
      </c>
      <c r="M18" s="77"/>
      <c r="N18" s="77"/>
      <c r="O18" s="77"/>
      <c r="P18" s="77"/>
      <c r="Q18" s="77"/>
      <c r="R18" s="77"/>
      <c r="S18" s="400"/>
    </row>
    <row r="19" spans="1:19" ht="17.25" customHeight="1" x14ac:dyDescent="0.2">
      <c r="A19" s="152" t="s">
        <v>551</v>
      </c>
      <c r="B19" s="126" t="s">
        <v>260</v>
      </c>
      <c r="C19" s="107">
        <v>1288</v>
      </c>
      <c r="D19" s="96">
        <v>2062</v>
      </c>
      <c r="E19" s="97"/>
      <c r="F19" s="96"/>
      <c r="G19" s="97">
        <f>'tám, végl. pe.átv  '!C38</f>
        <v>0</v>
      </c>
      <c r="H19" s="336"/>
      <c r="J19" s="95">
        <v>0</v>
      </c>
      <c r="K19" s="157">
        <f>SUM(C19:J19)</f>
        <v>3350</v>
      </c>
      <c r="M19" s="77"/>
      <c r="N19" s="77"/>
      <c r="O19" s="77"/>
      <c r="P19" s="77"/>
      <c r="Q19" s="77"/>
      <c r="R19" s="77"/>
      <c r="S19" s="400"/>
    </row>
    <row r="20" spans="1:19" ht="17.25" customHeight="1" x14ac:dyDescent="0.2">
      <c r="A20" s="152" t="s">
        <v>552</v>
      </c>
      <c r="B20" s="124" t="s">
        <v>282</v>
      </c>
      <c r="C20" s="107">
        <v>25</v>
      </c>
      <c r="D20" s="96"/>
      <c r="E20" s="97"/>
      <c r="F20" s="96"/>
      <c r="G20" s="357">
        <v>447</v>
      </c>
      <c r="H20" s="375"/>
      <c r="I20" s="214"/>
      <c r="J20" s="214"/>
      <c r="K20" s="157">
        <f t="shared" si="0"/>
        <v>472</v>
      </c>
      <c r="M20" s="77"/>
      <c r="N20" s="77"/>
      <c r="O20" s="77"/>
      <c r="P20" s="77"/>
      <c r="Q20" s="77"/>
      <c r="R20" s="77"/>
      <c r="S20" s="400"/>
    </row>
    <row r="21" spans="1:19" s="79" customFormat="1" ht="17.25" customHeight="1" x14ac:dyDescent="0.2">
      <c r="A21" s="152" t="s">
        <v>553</v>
      </c>
      <c r="B21" s="124" t="s">
        <v>283</v>
      </c>
      <c r="C21" s="107"/>
      <c r="D21" s="96"/>
      <c r="E21" s="97"/>
      <c r="F21" s="96"/>
      <c r="G21" s="357">
        <f>'tám, végl. pe.átv  '!C11</f>
        <v>732172</v>
      </c>
      <c r="H21" s="349">
        <f>'tám, végl. pe.átv  '!D11</f>
        <v>93769</v>
      </c>
      <c r="I21" s="203"/>
      <c r="J21" s="203"/>
      <c r="K21" s="157">
        <f t="shared" si="0"/>
        <v>825941</v>
      </c>
      <c r="L21" s="214"/>
      <c r="S21" s="414"/>
    </row>
    <row r="22" spans="1:19" ht="17.25" customHeight="1" x14ac:dyDescent="0.2">
      <c r="A22" s="152" t="s">
        <v>554</v>
      </c>
      <c r="B22" s="124" t="s">
        <v>284</v>
      </c>
      <c r="C22" s="107"/>
      <c r="D22" s="96"/>
      <c r="E22" s="97"/>
      <c r="F22" s="96"/>
      <c r="G22" s="357">
        <f>'tám, végl. pe.átv  '!C17</f>
        <v>2346</v>
      </c>
      <c r="H22" s="375"/>
      <c r="I22" s="214"/>
      <c r="J22" s="214"/>
      <c r="K22" s="157">
        <f t="shared" si="0"/>
        <v>2346</v>
      </c>
      <c r="M22" s="77"/>
      <c r="N22" s="77"/>
      <c r="O22" s="77"/>
      <c r="P22" s="77"/>
      <c r="Q22" s="77"/>
      <c r="R22" s="77"/>
      <c r="S22" s="400"/>
    </row>
    <row r="23" spans="1:19" ht="17.25" customHeight="1" x14ac:dyDescent="0.2">
      <c r="A23" s="152" t="s">
        <v>555</v>
      </c>
      <c r="B23" s="124" t="s">
        <v>296</v>
      </c>
      <c r="C23" s="107"/>
      <c r="D23" s="96"/>
      <c r="E23" s="97"/>
      <c r="F23" s="96"/>
      <c r="G23" s="357"/>
      <c r="H23" s="349">
        <f>'tám, végl. pe.átv  '!D18</f>
        <v>0</v>
      </c>
      <c r="I23" s="214"/>
      <c r="J23" s="214"/>
      <c r="K23" s="157">
        <f t="shared" si="0"/>
        <v>0</v>
      </c>
      <c r="M23" s="77"/>
      <c r="N23" s="77"/>
      <c r="O23" s="77"/>
      <c r="P23" s="77"/>
      <c r="Q23" s="77"/>
      <c r="R23" s="77"/>
      <c r="S23" s="400"/>
    </row>
    <row r="24" spans="1:19" ht="17.25" customHeight="1" x14ac:dyDescent="0.2">
      <c r="A24" s="152" t="s">
        <v>556</v>
      </c>
      <c r="B24" s="124" t="s">
        <v>297</v>
      </c>
      <c r="C24" s="107"/>
      <c r="D24" s="96"/>
      <c r="E24" s="97"/>
      <c r="F24" s="96"/>
      <c r="G24" s="357">
        <v>1300</v>
      </c>
      <c r="H24" s="375"/>
      <c r="I24" s="214"/>
      <c r="J24" s="214"/>
      <c r="K24" s="157">
        <f t="shared" si="0"/>
        <v>1300</v>
      </c>
      <c r="M24" s="77"/>
      <c r="N24" s="77"/>
      <c r="O24" s="77"/>
      <c r="P24" s="77"/>
      <c r="Q24" s="77"/>
      <c r="R24" s="77"/>
      <c r="S24" s="400"/>
    </row>
    <row r="25" spans="1:19" ht="17.25" customHeight="1" x14ac:dyDescent="0.2">
      <c r="A25" s="152" t="s">
        <v>557</v>
      </c>
      <c r="B25" s="124" t="s">
        <v>285</v>
      </c>
      <c r="C25" s="107"/>
      <c r="D25" s="96"/>
      <c r="E25" s="97"/>
      <c r="F25" s="96"/>
      <c r="G25" s="357">
        <v>14203</v>
      </c>
      <c r="H25" s="349"/>
      <c r="I25" s="203"/>
      <c r="J25" s="203"/>
      <c r="K25" s="157">
        <f t="shared" si="0"/>
        <v>14203</v>
      </c>
      <c r="M25" s="77"/>
      <c r="N25" s="77"/>
      <c r="O25" s="77"/>
      <c r="P25" s="77"/>
      <c r="Q25" s="77"/>
      <c r="R25" s="77"/>
      <c r="S25" s="400"/>
    </row>
    <row r="26" spans="1:19" ht="17.25" customHeight="1" x14ac:dyDescent="0.2">
      <c r="A26" s="152" t="s">
        <v>558</v>
      </c>
      <c r="B26" s="124" t="s">
        <v>262</v>
      </c>
      <c r="C26" s="107"/>
      <c r="E26" s="97">
        <f>'közhatalmi bevételek'!D13</f>
        <v>457082</v>
      </c>
      <c r="F26" s="96">
        <f>'közhatalmi bevételek'!E13</f>
        <v>746918</v>
      </c>
      <c r="G26" s="97"/>
      <c r="H26" s="374"/>
      <c r="I26" s="160"/>
      <c r="J26" s="160"/>
      <c r="K26" s="157">
        <f t="shared" si="0"/>
        <v>1204000</v>
      </c>
      <c r="M26" s="77"/>
      <c r="N26" s="77"/>
      <c r="O26" s="77"/>
      <c r="P26" s="77"/>
      <c r="Q26" s="77"/>
      <c r="R26" s="77"/>
      <c r="S26" s="400"/>
    </row>
    <row r="27" spans="1:19" ht="17.25" customHeight="1" x14ac:dyDescent="0.2">
      <c r="A27" s="152" t="s">
        <v>560</v>
      </c>
      <c r="B27" s="126" t="s">
        <v>559</v>
      </c>
      <c r="C27" s="107"/>
      <c r="E27" s="97"/>
      <c r="F27" s="96"/>
      <c r="G27" s="97"/>
      <c r="H27" s="374"/>
      <c r="I27" s="160"/>
      <c r="J27" s="160"/>
      <c r="K27" s="157">
        <f t="shared" si="0"/>
        <v>0</v>
      </c>
      <c r="M27" s="77"/>
      <c r="N27" s="77"/>
      <c r="O27" s="77"/>
      <c r="P27" s="77"/>
      <c r="Q27" s="77"/>
      <c r="R27" s="77"/>
      <c r="S27" s="400"/>
    </row>
    <row r="28" spans="1:19" ht="17.25" customHeight="1" x14ac:dyDescent="0.2">
      <c r="A28" s="152" t="s">
        <v>561</v>
      </c>
      <c r="B28" s="124" t="s">
        <v>286</v>
      </c>
      <c r="C28" s="107"/>
      <c r="E28" s="97">
        <f>'közhatalmi bevételek'!D20</f>
        <v>17000</v>
      </c>
      <c r="F28" s="96"/>
      <c r="G28" s="97"/>
      <c r="H28" s="374"/>
      <c r="I28" s="160"/>
      <c r="J28" s="160"/>
      <c r="K28" s="157">
        <f t="shared" si="0"/>
        <v>17000</v>
      </c>
      <c r="M28" s="77"/>
      <c r="N28" s="77"/>
      <c r="O28" s="77"/>
      <c r="P28" s="77"/>
      <c r="Q28" s="77"/>
      <c r="R28" s="77"/>
      <c r="S28" s="400"/>
    </row>
    <row r="29" spans="1:19" s="79" customFormat="1" ht="17.25" customHeight="1" x14ac:dyDescent="0.2">
      <c r="A29" s="152" t="s">
        <v>562</v>
      </c>
      <c r="B29" s="124" t="s">
        <v>263</v>
      </c>
      <c r="C29" s="107"/>
      <c r="D29" s="98"/>
      <c r="E29" s="357">
        <f>'közhatalmi bevételek'!D15</f>
        <v>4500</v>
      </c>
      <c r="F29" s="96">
        <f>'közhatalmi bevételek'!E15</f>
        <v>0</v>
      </c>
      <c r="G29" s="107"/>
      <c r="H29" s="374"/>
      <c r="I29" s="160"/>
      <c r="J29" s="160"/>
      <c r="K29" s="157">
        <f t="shared" si="0"/>
        <v>4500</v>
      </c>
      <c r="L29" s="214"/>
      <c r="S29" s="414"/>
    </row>
    <row r="30" spans="1:19" ht="17.25" customHeight="1" x14ac:dyDescent="0.2">
      <c r="A30" s="152" t="s">
        <v>563</v>
      </c>
      <c r="B30" s="124" t="s">
        <v>264</v>
      </c>
      <c r="C30" s="107"/>
      <c r="D30" s="96"/>
      <c r="E30" s="357">
        <f>'közhatalmi bevételek'!D25</f>
        <v>820</v>
      </c>
      <c r="F30" s="96"/>
      <c r="G30" s="97"/>
      <c r="H30" s="374"/>
      <c r="I30" s="160"/>
      <c r="J30" s="160"/>
      <c r="K30" s="157">
        <f t="shared" si="0"/>
        <v>820</v>
      </c>
      <c r="M30" s="77"/>
      <c r="N30" s="77"/>
      <c r="O30" s="77"/>
      <c r="P30" s="77"/>
      <c r="Q30" s="77"/>
      <c r="R30" s="77"/>
      <c r="S30" s="400"/>
    </row>
    <row r="31" spans="1:19" ht="17.25" customHeight="1" x14ac:dyDescent="0.2">
      <c r="A31" s="152" t="s">
        <v>564</v>
      </c>
      <c r="B31" s="124" t="s">
        <v>265</v>
      </c>
      <c r="C31" s="107"/>
      <c r="D31" s="96"/>
      <c r="E31" s="97"/>
      <c r="F31" s="96"/>
      <c r="G31" s="97"/>
      <c r="H31" s="374"/>
      <c r="I31" s="160"/>
      <c r="J31" s="160"/>
      <c r="K31" s="157">
        <f t="shared" si="0"/>
        <v>0</v>
      </c>
      <c r="M31" s="77"/>
      <c r="N31" s="77"/>
      <c r="O31" s="77"/>
      <c r="P31" s="77"/>
      <c r="Q31" s="77"/>
      <c r="R31" s="77"/>
      <c r="S31" s="400"/>
    </row>
    <row r="32" spans="1:19" ht="17.25" customHeight="1" x14ac:dyDescent="0.2">
      <c r="A32" s="152" t="s">
        <v>566</v>
      </c>
      <c r="B32" s="124" t="s">
        <v>266</v>
      </c>
      <c r="C32" s="107">
        <v>140</v>
      </c>
      <c r="D32" s="96">
        <v>46</v>
      </c>
      <c r="E32" s="97"/>
      <c r="F32" s="96"/>
      <c r="G32" s="97"/>
      <c r="H32" s="374"/>
      <c r="I32" s="160"/>
      <c r="J32" s="160"/>
      <c r="K32" s="157">
        <f t="shared" si="0"/>
        <v>186</v>
      </c>
      <c r="M32" s="77"/>
      <c r="N32" s="77"/>
      <c r="O32" s="77"/>
      <c r="P32" s="77"/>
      <c r="Q32" s="77"/>
      <c r="R32" s="77"/>
      <c r="S32" s="400"/>
    </row>
    <row r="33" spans="1:19" ht="17.25" customHeight="1" x14ac:dyDescent="0.2">
      <c r="A33" s="152" t="s">
        <v>567</v>
      </c>
      <c r="B33" s="153" t="s">
        <v>267</v>
      </c>
      <c r="C33" s="161"/>
      <c r="D33" s="156"/>
      <c r="E33" s="155"/>
      <c r="F33" s="156"/>
      <c r="G33" s="358">
        <v>5065</v>
      </c>
      <c r="H33" s="374"/>
      <c r="I33" s="160"/>
      <c r="J33" s="160"/>
      <c r="K33" s="157">
        <f t="shared" si="0"/>
        <v>5065</v>
      </c>
      <c r="M33" s="77"/>
      <c r="N33" s="77"/>
      <c r="O33" s="77"/>
      <c r="P33" s="77"/>
      <c r="Q33" s="77"/>
      <c r="R33" s="77"/>
      <c r="S33" s="400"/>
    </row>
    <row r="34" spans="1:19" ht="17.25" customHeight="1" x14ac:dyDescent="0.2">
      <c r="A34" s="152" t="s">
        <v>587</v>
      </c>
      <c r="B34" s="153" t="s">
        <v>268</v>
      </c>
      <c r="C34" s="161"/>
      <c r="D34" s="156"/>
      <c r="E34" s="155"/>
      <c r="F34" s="156"/>
      <c r="G34" s="358">
        <v>0</v>
      </c>
      <c r="H34" s="374"/>
      <c r="I34" s="160"/>
      <c r="J34" s="160"/>
      <c r="K34" s="157">
        <f t="shared" si="0"/>
        <v>0</v>
      </c>
      <c r="M34" s="77"/>
      <c r="N34" s="77"/>
      <c r="O34" s="77"/>
      <c r="P34" s="77"/>
      <c r="Q34" s="77"/>
      <c r="R34" s="77"/>
      <c r="S34" s="400"/>
    </row>
    <row r="35" spans="1:19" ht="17.25" customHeight="1" x14ac:dyDescent="0.2">
      <c r="A35" s="152" t="s">
        <v>588</v>
      </c>
      <c r="B35" s="153" t="s">
        <v>269</v>
      </c>
      <c r="C35" s="161"/>
      <c r="D35" s="156"/>
      <c r="E35" s="155"/>
      <c r="F35" s="156"/>
      <c r="G35" s="358">
        <v>455</v>
      </c>
      <c r="H35" s="374"/>
      <c r="I35" s="160"/>
      <c r="J35" s="160"/>
      <c r="K35" s="157">
        <f t="shared" si="0"/>
        <v>455</v>
      </c>
      <c r="M35" s="77"/>
      <c r="N35" s="77"/>
      <c r="O35" s="77"/>
      <c r="P35" s="77"/>
      <c r="Q35" s="77"/>
      <c r="R35" s="77"/>
      <c r="S35" s="400"/>
    </row>
    <row r="36" spans="1:19" ht="17.25" customHeight="1" x14ac:dyDescent="0.2">
      <c r="A36" s="152" t="s">
        <v>589</v>
      </c>
      <c r="B36" s="153" t="s">
        <v>571</v>
      </c>
      <c r="C36" s="161"/>
      <c r="D36" s="156"/>
      <c r="E36" s="155"/>
      <c r="F36" s="156"/>
      <c r="G36" s="358">
        <v>500</v>
      </c>
      <c r="H36" s="374"/>
      <c r="I36" s="160"/>
      <c r="J36" s="160"/>
      <c r="K36" s="157">
        <f t="shared" si="0"/>
        <v>500</v>
      </c>
      <c r="M36" s="77"/>
      <c r="N36" s="77"/>
      <c r="O36" s="77"/>
      <c r="P36" s="77"/>
      <c r="Q36" s="77"/>
      <c r="R36" s="77"/>
      <c r="S36" s="400"/>
    </row>
    <row r="37" spans="1:19" ht="17.25" customHeight="1" x14ac:dyDescent="0.2">
      <c r="A37" s="152" t="s">
        <v>590</v>
      </c>
      <c r="B37" s="153" t="s">
        <v>270</v>
      </c>
      <c r="C37" s="161"/>
      <c r="D37" s="156"/>
      <c r="E37" s="155"/>
      <c r="F37" s="156"/>
      <c r="G37" s="358">
        <v>2032</v>
      </c>
      <c r="H37" s="374"/>
      <c r="I37" s="160"/>
      <c r="J37" s="160"/>
      <c r="K37" s="157">
        <f t="shared" si="0"/>
        <v>2032</v>
      </c>
      <c r="M37" s="77"/>
      <c r="N37" s="77"/>
      <c r="O37" s="77"/>
      <c r="P37" s="77"/>
      <c r="Q37" s="77"/>
      <c r="R37" s="77"/>
      <c r="S37" s="400"/>
    </row>
    <row r="38" spans="1:19" ht="17.25" customHeight="1" x14ac:dyDescent="0.2">
      <c r="A38" s="152" t="s">
        <v>591</v>
      </c>
      <c r="B38" s="153" t="s">
        <v>271</v>
      </c>
      <c r="C38" s="161"/>
      <c r="D38" s="360">
        <v>2286</v>
      </c>
      <c r="E38" s="161"/>
      <c r="F38" s="156"/>
      <c r="G38" s="359"/>
      <c r="H38" s="336"/>
      <c r="K38" s="157">
        <f t="shared" si="0"/>
        <v>2286</v>
      </c>
      <c r="M38" s="77"/>
      <c r="N38" s="77"/>
      <c r="O38" s="77"/>
      <c r="P38" s="77"/>
      <c r="Q38" s="77"/>
      <c r="R38" s="77"/>
      <c r="S38" s="400"/>
    </row>
    <row r="39" spans="1:19" ht="17.25" customHeight="1" thickBot="1" x14ac:dyDescent="0.25">
      <c r="A39" s="152" t="s">
        <v>592</v>
      </c>
      <c r="B39" s="153" t="s">
        <v>272</v>
      </c>
      <c r="C39" s="161"/>
      <c r="D39" s="156"/>
      <c r="E39" s="155"/>
      <c r="F39" s="156"/>
      <c r="G39" s="155"/>
      <c r="H39" s="374"/>
      <c r="I39" s="160"/>
      <c r="J39" s="160"/>
      <c r="K39" s="157">
        <f t="shared" si="0"/>
        <v>0</v>
      </c>
      <c r="M39" s="77"/>
      <c r="N39" s="77"/>
      <c r="O39" s="77"/>
      <c r="P39" s="77"/>
      <c r="Q39" s="77"/>
      <c r="R39" s="77"/>
      <c r="S39" s="400"/>
    </row>
    <row r="40" spans="1:19" ht="17.25" customHeight="1" thickBot="1" x14ac:dyDescent="0.25">
      <c r="A40" s="1339" t="s">
        <v>596</v>
      </c>
      <c r="B40" s="1340"/>
      <c r="C40" s="252">
        <f>SUM(C10:C39)</f>
        <v>40369</v>
      </c>
      <c r="D40" s="252">
        <f>SUM(D10:D39)</f>
        <v>43113</v>
      </c>
      <c r="E40" s="388">
        <f>SUM(E10:E39)</f>
        <v>488402</v>
      </c>
      <c r="F40" s="389">
        <f>SUM(F10:F39)</f>
        <v>746918</v>
      </c>
      <c r="G40" s="252">
        <f>SUM(G10:G39)</f>
        <v>758520</v>
      </c>
      <c r="H40" s="376">
        <f>SUM(H12:H39)</f>
        <v>93769</v>
      </c>
      <c r="I40" s="376">
        <f>SUM(I12:I39)</f>
        <v>0</v>
      </c>
      <c r="J40" s="376">
        <f>SUM(J12:J39)</f>
        <v>0</v>
      </c>
      <c r="K40" s="253">
        <f>SUM(C40:J40)</f>
        <v>2171091</v>
      </c>
      <c r="M40" s="77"/>
      <c r="N40" s="77"/>
      <c r="O40" s="77"/>
      <c r="P40" s="77"/>
      <c r="Q40" s="77"/>
      <c r="R40" s="77"/>
      <c r="S40" s="400"/>
    </row>
    <row r="41" spans="1:19" ht="17.25" customHeight="1" x14ac:dyDescent="0.2">
      <c r="M41" s="77"/>
      <c r="N41" s="77"/>
      <c r="O41" s="77"/>
      <c r="P41" s="77"/>
      <c r="Q41" s="77"/>
      <c r="R41" s="77"/>
      <c r="S41" s="400"/>
    </row>
    <row r="42" spans="1:19" ht="17.25" customHeight="1" x14ac:dyDescent="0.2">
      <c r="M42" s="77"/>
      <c r="N42" s="77"/>
      <c r="O42" s="77"/>
      <c r="P42" s="77"/>
      <c r="Q42" s="77"/>
      <c r="R42" s="77"/>
      <c r="S42" s="400"/>
    </row>
    <row r="43" spans="1:19" ht="17.25" customHeight="1" x14ac:dyDescent="0.2">
      <c r="M43" s="77"/>
      <c r="N43" s="77"/>
      <c r="O43" s="77"/>
      <c r="P43" s="77"/>
      <c r="Q43" s="77"/>
      <c r="R43" s="77"/>
      <c r="S43" s="400"/>
    </row>
    <row r="44" spans="1:19" ht="17.25" customHeight="1" x14ac:dyDescent="0.2">
      <c r="M44" s="77"/>
      <c r="N44" s="77"/>
      <c r="O44" s="77"/>
      <c r="P44" s="77"/>
      <c r="Q44" s="77"/>
      <c r="R44" s="77"/>
      <c r="S44" s="400"/>
    </row>
    <row r="45" spans="1:19" ht="17.25" customHeight="1" x14ac:dyDescent="0.2">
      <c r="M45" s="77"/>
      <c r="N45" s="77"/>
      <c r="O45" s="77"/>
      <c r="P45" s="77"/>
      <c r="Q45" s="77"/>
      <c r="R45" s="77"/>
      <c r="S45" s="400"/>
    </row>
    <row r="46" spans="1:19" ht="17.25" customHeight="1" x14ac:dyDescent="0.2">
      <c r="M46" s="77"/>
      <c r="N46" s="77"/>
      <c r="O46" s="77"/>
      <c r="P46" s="77"/>
      <c r="Q46" s="77"/>
      <c r="R46" s="77"/>
      <c r="S46" s="400"/>
    </row>
    <row r="47" spans="1:19" ht="17.25" customHeight="1" x14ac:dyDescent="0.2">
      <c r="M47" s="77"/>
      <c r="N47" s="77"/>
      <c r="O47" s="77"/>
      <c r="P47" s="77"/>
      <c r="Q47" s="77"/>
      <c r="R47" s="77"/>
      <c r="S47" s="400"/>
    </row>
    <row r="48" spans="1:19" ht="17.25" customHeight="1" x14ac:dyDescent="0.2">
      <c r="M48" s="77"/>
      <c r="N48" s="77"/>
      <c r="O48" s="77"/>
      <c r="P48" s="77"/>
      <c r="Q48" s="77"/>
      <c r="R48" s="77"/>
      <c r="S48" s="400"/>
    </row>
    <row r="49" spans="2:24" ht="17.25" customHeight="1" x14ac:dyDescent="0.2">
      <c r="M49" s="77"/>
      <c r="N49" s="77"/>
      <c r="O49" s="77"/>
      <c r="P49" s="77"/>
      <c r="Q49" s="77"/>
      <c r="R49" s="77"/>
      <c r="S49" s="400"/>
    </row>
    <row r="50" spans="2:24" ht="17.25" customHeight="1" x14ac:dyDescent="0.2">
      <c r="M50" s="77"/>
      <c r="N50" s="77"/>
      <c r="O50" s="77"/>
      <c r="P50" s="77"/>
      <c r="Q50" s="77"/>
      <c r="R50" s="77"/>
      <c r="S50" s="400"/>
    </row>
    <row r="51" spans="2:24" ht="17.25" customHeight="1" x14ac:dyDescent="0.2">
      <c r="M51" s="77"/>
      <c r="N51" s="77"/>
      <c r="O51" s="77"/>
      <c r="P51" s="77"/>
      <c r="Q51" s="77"/>
      <c r="R51" s="77"/>
      <c r="S51" s="400"/>
    </row>
    <row r="52" spans="2:24" ht="17.25" customHeight="1" x14ac:dyDescent="0.2">
      <c r="M52" s="77"/>
      <c r="N52" s="77"/>
      <c r="O52" s="77"/>
      <c r="P52" s="77"/>
      <c r="Q52" s="77"/>
      <c r="R52" s="77"/>
      <c r="S52" s="400"/>
    </row>
    <row r="53" spans="2:24" ht="17.25" customHeight="1" x14ac:dyDescent="0.2">
      <c r="M53" s="77"/>
      <c r="N53" s="77"/>
      <c r="O53" s="77"/>
      <c r="P53" s="77"/>
      <c r="Q53" s="77"/>
      <c r="R53" s="77"/>
      <c r="S53" s="400"/>
    </row>
    <row r="54" spans="2:24" ht="17.25" customHeight="1" x14ac:dyDescent="0.2">
      <c r="M54" s="77"/>
      <c r="N54" s="77"/>
      <c r="O54" s="77"/>
      <c r="P54" s="77"/>
      <c r="Q54" s="77"/>
      <c r="R54" s="77"/>
      <c r="S54" s="400"/>
    </row>
    <row r="55" spans="2:24" ht="17.25" customHeight="1" x14ac:dyDescent="0.2">
      <c r="M55" s="77"/>
      <c r="N55" s="77"/>
      <c r="O55" s="77"/>
      <c r="P55" s="77"/>
      <c r="Q55" s="77"/>
      <c r="R55" s="77"/>
      <c r="S55" s="400"/>
    </row>
    <row r="56" spans="2:24" ht="17.25" customHeight="1" x14ac:dyDescent="0.2">
      <c r="M56" s="77"/>
      <c r="N56" s="77"/>
      <c r="O56" s="77"/>
      <c r="P56" s="77"/>
      <c r="Q56" s="77"/>
      <c r="R56" s="77"/>
      <c r="S56" s="400"/>
    </row>
    <row r="57" spans="2:24" ht="17.25" customHeight="1" x14ac:dyDescent="0.2">
      <c r="M57" s="77"/>
      <c r="N57" s="77"/>
      <c r="O57" s="77"/>
      <c r="P57" s="77"/>
      <c r="Q57" s="77"/>
      <c r="R57" s="77"/>
      <c r="S57" s="400"/>
    </row>
    <row r="58" spans="2:24" ht="17.25" customHeight="1" x14ac:dyDescent="0.2">
      <c r="M58" s="77"/>
      <c r="N58" s="77"/>
      <c r="O58" s="77"/>
      <c r="P58" s="77"/>
      <c r="Q58" s="77"/>
      <c r="R58" s="77"/>
      <c r="S58" s="400"/>
    </row>
    <row r="64" spans="2:24" ht="17.25" customHeight="1" x14ac:dyDescent="0.2">
      <c r="B64" s="1362" t="s">
        <v>572</v>
      </c>
      <c r="C64" s="1269"/>
      <c r="D64" s="1269"/>
      <c r="E64" s="1269"/>
      <c r="F64" s="1269"/>
      <c r="G64" s="1269"/>
      <c r="H64" s="1269"/>
      <c r="I64" s="1269"/>
      <c r="J64" s="1269"/>
      <c r="K64" s="1269"/>
      <c r="L64" s="1269"/>
      <c r="M64" s="1269"/>
      <c r="N64" s="1269"/>
      <c r="O64" s="1269"/>
      <c r="P64" s="1269"/>
      <c r="Q64" s="1269"/>
      <c r="R64" s="1269"/>
      <c r="W64" s="78"/>
      <c r="X64" s="78"/>
    </row>
    <row r="65" spans="1:23" ht="17.25" customHeight="1" x14ac:dyDescent="0.2">
      <c r="D65" s="93"/>
      <c r="E65" s="93"/>
      <c r="F65" s="93"/>
      <c r="G65" s="93"/>
      <c r="H65" s="93"/>
      <c r="I65" s="93"/>
      <c r="J65" s="93"/>
      <c r="K65" s="93"/>
      <c r="W65" s="78"/>
    </row>
    <row r="66" spans="1:23" ht="17.25" customHeight="1" x14ac:dyDescent="0.2">
      <c r="A66" s="1215" t="s">
        <v>548</v>
      </c>
      <c r="B66" s="1269"/>
      <c r="C66" s="1269"/>
      <c r="D66" s="1269"/>
      <c r="E66" s="1269"/>
      <c r="F66" s="1269"/>
      <c r="G66" s="1269"/>
      <c r="H66" s="1269"/>
      <c r="I66" s="1269"/>
      <c r="J66" s="1269"/>
      <c r="K66" s="1269"/>
      <c r="L66" s="1269"/>
      <c r="M66" s="1269"/>
      <c r="N66" s="1269"/>
      <c r="O66" s="1269"/>
      <c r="P66" s="1269"/>
      <c r="Q66" s="1269"/>
      <c r="R66" s="1269"/>
    </row>
    <row r="67" spans="1:23" ht="17.25" customHeight="1" x14ac:dyDescent="0.2">
      <c r="A67" s="1215" t="s">
        <v>299</v>
      </c>
      <c r="B67" s="1269"/>
      <c r="C67" s="1269"/>
      <c r="D67" s="1269"/>
      <c r="E67" s="1269"/>
      <c r="F67" s="1269"/>
      <c r="G67" s="1269"/>
      <c r="H67" s="1269"/>
      <c r="I67" s="1269"/>
      <c r="J67" s="1269"/>
      <c r="K67" s="1269"/>
      <c r="L67" s="1269"/>
      <c r="M67" s="1269"/>
      <c r="N67" s="1269"/>
      <c r="O67" s="1269"/>
      <c r="P67" s="1269"/>
      <c r="Q67" s="1269"/>
      <c r="R67" s="1269"/>
    </row>
    <row r="68" spans="1:23" ht="17.25" customHeight="1" x14ac:dyDescent="0.2">
      <c r="B68" s="147"/>
      <c r="C68" s="148"/>
      <c r="D68" s="148"/>
      <c r="E68" s="148"/>
      <c r="F68" s="148"/>
      <c r="G68" s="148"/>
      <c r="H68" s="148"/>
      <c r="I68" s="148"/>
      <c r="J68" s="148"/>
      <c r="K68" s="148"/>
    </row>
    <row r="69" spans="1:23" ht="12.75" customHeight="1" thickBot="1" x14ac:dyDescent="0.25">
      <c r="A69" s="1368" t="s">
        <v>311</v>
      </c>
      <c r="B69" s="1271"/>
      <c r="C69" s="1271"/>
      <c r="D69" s="1271"/>
      <c r="E69" s="1271"/>
      <c r="F69" s="1271"/>
      <c r="G69" s="1271"/>
      <c r="H69" s="1271"/>
      <c r="I69" s="1271"/>
      <c r="J69" s="1271"/>
      <c r="K69" s="1271"/>
      <c r="L69" s="1369"/>
      <c r="M69" s="1369"/>
      <c r="N69" s="1369"/>
      <c r="O69" s="1369"/>
      <c r="P69" s="1369"/>
      <c r="Q69" s="1369"/>
      <c r="R69" s="1369"/>
    </row>
    <row r="70" spans="1:23" s="94" customFormat="1" ht="11.25" customHeight="1" x14ac:dyDescent="0.2">
      <c r="A70" s="1352" t="s">
        <v>484</v>
      </c>
      <c r="B70" s="1341" t="s">
        <v>86</v>
      </c>
      <c r="C70" s="1359" t="s">
        <v>57</v>
      </c>
      <c r="D70" s="1358"/>
      <c r="E70" s="1358" t="s">
        <v>58</v>
      </c>
      <c r="F70" s="1358"/>
      <c r="G70" s="1358" t="s">
        <v>59</v>
      </c>
      <c r="H70" s="1358"/>
      <c r="I70" s="1360"/>
      <c r="J70" s="1359"/>
      <c r="K70" s="224" t="s">
        <v>60</v>
      </c>
      <c r="L70" s="1361" t="s">
        <v>485</v>
      </c>
      <c r="M70" s="1357"/>
      <c r="N70" s="1357" t="s">
        <v>486</v>
      </c>
      <c r="O70" s="1357"/>
      <c r="P70" s="1357" t="s">
        <v>487</v>
      </c>
      <c r="Q70" s="1357"/>
      <c r="R70" s="220" t="s">
        <v>615</v>
      </c>
      <c r="S70" s="411"/>
    </row>
    <row r="71" spans="1:23" ht="31.5" customHeight="1" x14ac:dyDescent="0.2">
      <c r="A71" s="1353"/>
      <c r="B71" s="1342"/>
      <c r="C71" s="1363" t="s">
        <v>573</v>
      </c>
      <c r="D71" s="1366"/>
      <c r="E71" s="1366"/>
      <c r="F71" s="1366"/>
      <c r="G71" s="1366"/>
      <c r="H71" s="1366"/>
      <c r="I71" s="1366"/>
      <c r="J71" s="1366"/>
      <c r="K71" s="1367"/>
      <c r="L71" s="1363" t="s">
        <v>531</v>
      </c>
      <c r="M71" s="1364"/>
      <c r="N71" s="1364"/>
      <c r="O71" s="1364"/>
      <c r="P71" s="1364"/>
      <c r="Q71" s="1364"/>
      <c r="R71" s="1365"/>
    </row>
    <row r="72" spans="1:23" ht="36" customHeight="1" thickBot="1" x14ac:dyDescent="0.25">
      <c r="A72" s="1353"/>
      <c r="B72" s="1342"/>
      <c r="C72" s="1344" t="s">
        <v>467</v>
      </c>
      <c r="D72" s="1345"/>
      <c r="E72" s="1345" t="s">
        <v>468</v>
      </c>
      <c r="F72" s="1345"/>
      <c r="G72" s="1345" t="s">
        <v>22</v>
      </c>
      <c r="H72" s="1345"/>
      <c r="I72" s="1346"/>
      <c r="J72" s="1347"/>
      <c r="K72" s="1355" t="s">
        <v>550</v>
      </c>
      <c r="L72" s="1344" t="s">
        <v>467</v>
      </c>
      <c r="M72" s="1345"/>
      <c r="N72" s="1345" t="s">
        <v>468</v>
      </c>
      <c r="O72" s="1345"/>
      <c r="P72" s="1345" t="s">
        <v>22</v>
      </c>
      <c r="Q72" s="1345"/>
      <c r="R72" s="1350" t="s">
        <v>550</v>
      </c>
    </row>
    <row r="73" spans="1:23" ht="35.25" customHeight="1" thickBot="1" x14ac:dyDescent="0.25">
      <c r="A73" s="1353"/>
      <c r="B73" s="1342"/>
      <c r="C73" s="1344"/>
      <c r="D73" s="1345"/>
      <c r="E73" s="1345"/>
      <c r="F73" s="1345"/>
      <c r="G73" s="1345"/>
      <c r="H73" s="1345"/>
      <c r="I73" s="1348"/>
      <c r="J73" s="1349"/>
      <c r="K73" s="1355"/>
      <c r="L73" s="1344"/>
      <c r="M73" s="1345"/>
      <c r="N73" s="1345"/>
      <c r="O73" s="1345"/>
      <c r="P73" s="1345"/>
      <c r="Q73" s="1345"/>
      <c r="R73" s="1350"/>
    </row>
    <row r="74" spans="1:23" ht="32.25" customHeight="1" thickBot="1" x14ac:dyDescent="0.25">
      <c r="A74" s="1354"/>
      <c r="B74" s="1343"/>
      <c r="C74" s="363" t="s">
        <v>62</v>
      </c>
      <c r="D74" s="226" t="s">
        <v>63</v>
      </c>
      <c r="E74" s="225" t="s">
        <v>62</v>
      </c>
      <c r="F74" s="225" t="s">
        <v>63</v>
      </c>
      <c r="G74" s="225" t="s">
        <v>62</v>
      </c>
      <c r="H74" s="225" t="s">
        <v>63</v>
      </c>
      <c r="I74" s="225" t="s">
        <v>62</v>
      </c>
      <c r="J74" s="225" t="s">
        <v>63</v>
      </c>
      <c r="K74" s="1356"/>
      <c r="L74" s="228" t="s">
        <v>62</v>
      </c>
      <c r="M74" s="229" t="s">
        <v>63</v>
      </c>
      <c r="N74" s="223" t="s">
        <v>62</v>
      </c>
      <c r="O74" s="223" t="s">
        <v>63</v>
      </c>
      <c r="P74" s="223" t="s">
        <v>62</v>
      </c>
      <c r="Q74" s="223" t="s">
        <v>63</v>
      </c>
      <c r="R74" s="1351"/>
    </row>
    <row r="75" spans="1:23" ht="17.25" customHeight="1" x14ac:dyDescent="0.2">
      <c r="A75" s="162">
        <v>1</v>
      </c>
      <c r="B75" s="407" t="s">
        <v>576</v>
      </c>
      <c r="C75" s="173">
        <v>10</v>
      </c>
      <c r="D75" s="173">
        <v>0</v>
      </c>
      <c r="E75" s="173"/>
      <c r="F75" s="173"/>
      <c r="G75" s="173"/>
      <c r="H75" s="173"/>
      <c r="I75" s="173"/>
      <c r="J75" s="173"/>
      <c r="K75" s="362">
        <f>SUM(C75:H75)</f>
        <v>10</v>
      </c>
      <c r="L75" s="230">
        <v>20</v>
      </c>
      <c r="M75" s="230">
        <v>188</v>
      </c>
      <c r="N75" s="230"/>
      <c r="O75" s="230"/>
      <c r="P75" s="230"/>
      <c r="Q75" s="230"/>
      <c r="R75" s="231">
        <f>SUM(L75:Q75)</f>
        <v>208</v>
      </c>
    </row>
    <row r="76" spans="1:23" ht="17.25" customHeight="1" x14ac:dyDescent="0.2">
      <c r="A76" s="162">
        <v>2</v>
      </c>
      <c r="B76" s="408" t="s">
        <v>575</v>
      </c>
      <c r="C76" s="173"/>
      <c r="D76" s="173">
        <v>284</v>
      </c>
      <c r="E76" s="173"/>
      <c r="F76" s="173"/>
      <c r="G76" s="173"/>
      <c r="H76" s="173"/>
      <c r="I76" s="173"/>
      <c r="J76" s="173"/>
      <c r="K76" s="383">
        <f>SUM(C76:H76)</f>
        <v>284</v>
      </c>
      <c r="L76" s="173"/>
      <c r="M76" s="173"/>
      <c r="N76" s="173"/>
      <c r="O76" s="173"/>
      <c r="P76" s="173"/>
      <c r="Q76" s="173"/>
      <c r="R76" s="377"/>
    </row>
    <row r="77" spans="1:23" ht="17.25" customHeight="1" x14ac:dyDescent="0.2">
      <c r="A77" s="162">
        <v>3</v>
      </c>
      <c r="B77" s="408" t="s">
        <v>574</v>
      </c>
      <c r="C77" s="173">
        <v>3</v>
      </c>
      <c r="D77" s="173">
        <v>78</v>
      </c>
      <c r="E77" s="173"/>
      <c r="F77" s="173"/>
      <c r="G77" s="173"/>
      <c r="H77" s="173"/>
      <c r="I77" s="173"/>
      <c r="J77" s="173"/>
      <c r="K77" s="383">
        <f>SUM(C77:H77)</f>
        <v>81</v>
      </c>
      <c r="L77" s="173"/>
      <c r="M77" s="173"/>
      <c r="N77" s="173"/>
      <c r="O77" s="173"/>
      <c r="P77" s="173"/>
      <c r="Q77" s="173"/>
      <c r="R77" s="377"/>
    </row>
    <row r="78" spans="1:23" ht="17.25" customHeight="1" x14ac:dyDescent="0.2">
      <c r="A78" s="152">
        <v>4</v>
      </c>
      <c r="B78" s="408" t="s">
        <v>577</v>
      </c>
      <c r="C78" s="406">
        <v>2</v>
      </c>
      <c r="D78" s="227"/>
      <c r="E78" s="227"/>
      <c r="F78" s="227"/>
      <c r="G78" s="227"/>
      <c r="H78" s="227"/>
      <c r="I78" s="227"/>
      <c r="J78" s="227"/>
      <c r="K78" s="383">
        <f>SUM(C78:H78)</f>
        <v>2</v>
      </c>
      <c r="L78" s="232"/>
      <c r="M78" s="232"/>
      <c r="N78" s="232"/>
      <c r="O78" s="232"/>
      <c r="P78" s="232"/>
      <c r="Q78" s="232"/>
      <c r="R78" s="233"/>
    </row>
    <row r="79" spans="1:23" ht="17.25" customHeight="1" thickBot="1" x14ac:dyDescent="0.25">
      <c r="A79" s="384">
        <v>5</v>
      </c>
      <c r="B79" s="409" t="s">
        <v>578</v>
      </c>
      <c r="C79" s="406"/>
      <c r="D79" s="227">
        <v>40</v>
      </c>
      <c r="E79" s="227"/>
      <c r="F79" s="227"/>
      <c r="G79" s="227"/>
      <c r="H79" s="227"/>
      <c r="I79" s="227"/>
      <c r="J79" s="227"/>
      <c r="K79" s="410">
        <f>SUM(C79:J79)</f>
        <v>40</v>
      </c>
      <c r="L79" s="232"/>
      <c r="M79" s="232"/>
      <c r="N79" s="232"/>
      <c r="O79" s="232"/>
      <c r="P79" s="232"/>
      <c r="Q79" s="232"/>
      <c r="R79" s="233"/>
    </row>
    <row r="80" spans="1:23" ht="17.25" customHeight="1" thickBot="1" x14ac:dyDescent="0.25">
      <c r="A80" s="371" t="s">
        <v>273</v>
      </c>
      <c r="B80" s="378"/>
      <c r="C80" s="379">
        <f>SUM(C74:C78)</f>
        <v>15</v>
      </c>
      <c r="D80" s="379">
        <f>SUM(D74:D79)</f>
        <v>402</v>
      </c>
      <c r="E80" s="380">
        <f>SUM(E74)</f>
        <v>0</v>
      </c>
      <c r="F80" s="380">
        <f>SUM(F74)</f>
        <v>0</v>
      </c>
      <c r="G80" s="380">
        <f>SUM(G74)</f>
        <v>0</v>
      </c>
      <c r="H80" s="380">
        <f>SUM(H74:H78)</f>
        <v>0</v>
      </c>
      <c r="I80" s="381"/>
      <c r="J80" s="381"/>
      <c r="K80" s="382">
        <f>SUM(K74:K79)</f>
        <v>417</v>
      </c>
      <c r="L80" s="361">
        <f>SUM(L75:L78)</f>
        <v>20</v>
      </c>
      <c r="M80" s="221">
        <f>SUM(M75:M78)</f>
        <v>188</v>
      </c>
      <c r="N80" s="221"/>
      <c r="O80" s="221"/>
      <c r="P80" s="221"/>
      <c r="Q80" s="221"/>
      <c r="R80" s="234">
        <f>SUM(L80:Q80)</f>
        <v>208</v>
      </c>
      <c r="S80" s="412"/>
    </row>
  </sheetData>
  <sheetProtection selectLockedCells="1" selectUnlockedCells="1"/>
  <mergeCells count="41"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L80"/>
  <sheetViews>
    <sheetView topLeftCell="A49" zoomScale="130" zoomScaleNormal="130" workbookViewId="0">
      <selection activeCell="K71" sqref="K71"/>
    </sheetView>
  </sheetViews>
  <sheetFormatPr defaultColWidth="9.140625" defaultRowHeight="10.5" x14ac:dyDescent="0.2"/>
  <cols>
    <col min="1" max="1" width="4.140625" style="77" customWidth="1"/>
    <col min="2" max="2" width="4.85546875" style="245" customWidth="1"/>
    <col min="3" max="3" width="26.7109375" style="249" customWidth="1"/>
    <col min="4" max="6" width="5.85546875" style="250" customWidth="1"/>
    <col min="7" max="9" width="6.7109375" style="251" customWidth="1"/>
    <col min="10" max="12" width="5.85546875" style="251" customWidth="1"/>
    <col min="13" max="15" width="6.42578125" style="251" customWidth="1"/>
    <col min="16" max="18" width="5.28515625" style="251" customWidth="1"/>
    <col min="19" max="21" width="6.42578125" style="251" customWidth="1"/>
    <col min="22" max="24" width="5.7109375" style="251" customWidth="1"/>
    <col min="25" max="27" width="5.5703125" style="251" customWidth="1"/>
    <col min="28" max="28" width="6" style="251" customWidth="1"/>
    <col min="29" max="31" width="5.85546875" style="251" customWidth="1"/>
    <col min="32" max="32" width="4.7109375" style="251" customWidth="1"/>
    <col min="33" max="33" width="5" style="251" customWidth="1"/>
    <col min="34" max="34" width="6.5703125" style="251" bestFit="1" customWidth="1"/>
    <col min="35" max="35" width="7.7109375" style="244" customWidth="1"/>
    <col min="36" max="36" width="8" style="244" customWidth="1"/>
    <col min="37" max="38" width="9.140625" style="244"/>
    <col min="39" max="16384" width="9.140625" style="77"/>
  </cols>
  <sheetData>
    <row r="1" spans="1:38" ht="12.75" x14ac:dyDescent="0.2">
      <c r="B1" s="1362" t="s">
        <v>1290</v>
      </c>
      <c r="C1" s="1393"/>
      <c r="D1" s="1393"/>
      <c r="E1" s="1393"/>
      <c r="F1" s="1393"/>
      <c r="G1" s="1393"/>
      <c r="H1" s="1393"/>
      <c r="I1" s="1393"/>
      <c r="J1" s="1393"/>
      <c r="K1" s="1393"/>
      <c r="L1" s="1393"/>
      <c r="M1" s="1393"/>
      <c r="N1" s="1393"/>
      <c r="O1" s="1393"/>
      <c r="P1" s="1393"/>
      <c r="Q1" s="1393"/>
      <c r="R1" s="1393"/>
      <c r="S1" s="1393"/>
      <c r="T1" s="1393"/>
      <c r="U1" s="1393"/>
      <c r="V1" s="1393"/>
      <c r="W1" s="1393"/>
      <c r="X1" s="1393"/>
      <c r="Y1" s="1393"/>
      <c r="Z1" s="1393"/>
      <c r="AA1" s="1393"/>
      <c r="AB1" s="1393"/>
      <c r="AC1" s="1393"/>
      <c r="AD1" s="1393"/>
      <c r="AE1" s="1393"/>
      <c r="AF1" s="1393"/>
      <c r="AG1" s="1393"/>
      <c r="AH1" s="1393"/>
    </row>
    <row r="2" spans="1:38" ht="12.75" x14ac:dyDescent="0.2">
      <c r="B2" s="1394" t="s">
        <v>78</v>
      </c>
      <c r="C2" s="1395"/>
      <c r="D2" s="1395"/>
      <c r="E2" s="1395"/>
      <c r="F2" s="1395"/>
      <c r="G2" s="1395"/>
      <c r="H2" s="1395"/>
      <c r="I2" s="1395"/>
      <c r="J2" s="1395"/>
      <c r="K2" s="1395"/>
      <c r="L2" s="1395"/>
      <c r="M2" s="1395"/>
      <c r="N2" s="1395"/>
      <c r="O2" s="1395"/>
      <c r="P2" s="1395"/>
      <c r="Q2" s="1395"/>
      <c r="R2" s="1395"/>
      <c r="S2" s="1395"/>
      <c r="T2" s="1395"/>
      <c r="U2" s="1395"/>
      <c r="V2" s="1395"/>
      <c r="W2" s="1395"/>
      <c r="X2" s="1395"/>
      <c r="Y2" s="1395"/>
      <c r="Z2" s="1395"/>
      <c r="AA2" s="1395"/>
      <c r="AB2" s="1395"/>
      <c r="AC2" s="1395"/>
      <c r="AD2" s="1395"/>
      <c r="AE2" s="1395"/>
      <c r="AF2" s="1395"/>
      <c r="AG2" s="1395"/>
      <c r="AH2" s="1395"/>
    </row>
    <row r="3" spans="1:38" ht="12.75" x14ac:dyDescent="0.2">
      <c r="A3" s="78"/>
      <c r="B3" s="1215" t="s">
        <v>1106</v>
      </c>
      <c r="C3" s="1393"/>
      <c r="D3" s="1393"/>
      <c r="E3" s="1393"/>
      <c r="F3" s="1393"/>
      <c r="G3" s="1393"/>
      <c r="H3" s="1393"/>
      <c r="I3" s="1393"/>
      <c r="J3" s="1393"/>
      <c r="K3" s="1393"/>
      <c r="L3" s="1393"/>
      <c r="M3" s="1393"/>
      <c r="N3" s="1393"/>
      <c r="O3" s="1393"/>
      <c r="P3" s="1393"/>
      <c r="Q3" s="1393"/>
      <c r="R3" s="1393"/>
      <c r="S3" s="1393"/>
      <c r="T3" s="1393"/>
      <c r="U3" s="1393"/>
      <c r="V3" s="1393"/>
      <c r="W3" s="1393"/>
      <c r="X3" s="1393"/>
      <c r="Y3" s="1393"/>
      <c r="Z3" s="1393"/>
      <c r="AA3" s="1393"/>
      <c r="AB3" s="1393"/>
      <c r="AC3" s="1393"/>
      <c r="AD3" s="1393"/>
      <c r="AE3" s="1393"/>
      <c r="AF3" s="1393"/>
      <c r="AG3" s="1393"/>
      <c r="AH3" s="1393"/>
    </row>
    <row r="4" spans="1:38" x14ac:dyDescent="0.2">
      <c r="A4" s="78"/>
      <c r="C4" s="1402" t="s">
        <v>311</v>
      </c>
      <c r="D4" s="1402"/>
      <c r="E4" s="1402"/>
      <c r="F4" s="1402"/>
      <c r="G4" s="1402"/>
      <c r="H4" s="1402"/>
      <c r="I4" s="1402"/>
      <c r="J4" s="1402"/>
      <c r="K4" s="1402"/>
      <c r="L4" s="1402"/>
      <c r="M4" s="1402"/>
      <c r="N4" s="1402"/>
      <c r="O4" s="1402"/>
      <c r="P4" s="1402"/>
      <c r="Q4" s="1402"/>
      <c r="R4" s="1402"/>
      <c r="S4" s="1402"/>
      <c r="T4" s="1402"/>
      <c r="U4" s="1402"/>
      <c r="V4" s="1402"/>
      <c r="W4" s="1402"/>
      <c r="X4" s="1402"/>
      <c r="Y4" s="1402"/>
      <c r="Z4" s="1402"/>
      <c r="AA4" s="1402"/>
      <c r="AB4" s="1402"/>
      <c r="AC4" s="1402"/>
      <c r="AD4" s="1402"/>
      <c r="AE4" s="1402"/>
      <c r="AF4" s="1402"/>
      <c r="AG4" s="1402"/>
      <c r="AH4" s="1402"/>
    </row>
    <row r="5" spans="1:38" x14ac:dyDescent="0.2">
      <c r="A5" s="593"/>
      <c r="B5" s="1396" t="s">
        <v>484</v>
      </c>
      <c r="C5" s="591" t="s">
        <v>57</v>
      </c>
      <c r="D5" s="1383" t="s">
        <v>58</v>
      </c>
      <c r="E5" s="1384"/>
      <c r="F5" s="1384"/>
      <c r="G5" s="1382"/>
      <c r="H5" s="1090"/>
      <c r="I5" s="1090"/>
      <c r="J5" s="1383" t="s">
        <v>59</v>
      </c>
      <c r="K5" s="1384"/>
      <c r="L5" s="1384"/>
      <c r="M5" s="1382"/>
      <c r="N5" s="1090"/>
      <c r="O5" s="1090"/>
      <c r="P5" s="1383" t="s">
        <v>614</v>
      </c>
      <c r="Q5" s="1384"/>
      <c r="R5" s="1384"/>
      <c r="S5" s="1382"/>
      <c r="T5" s="1090"/>
      <c r="U5" s="1090"/>
      <c r="V5" s="1383" t="s">
        <v>485</v>
      </c>
      <c r="W5" s="1384"/>
      <c r="X5" s="1384"/>
      <c r="Y5" s="1382"/>
      <c r="Z5" s="1090"/>
      <c r="AA5" s="1090"/>
      <c r="AB5" s="1381" t="s">
        <v>486</v>
      </c>
      <c r="AC5" s="1382"/>
      <c r="AD5" s="1381" t="s">
        <v>487</v>
      </c>
      <c r="AE5" s="1382"/>
      <c r="AF5" s="1381" t="s">
        <v>615</v>
      </c>
      <c r="AG5" s="1382"/>
      <c r="AH5" s="385" t="s">
        <v>626</v>
      </c>
    </row>
    <row r="6" spans="1:38" ht="12.75" customHeight="1" x14ac:dyDescent="0.2">
      <c r="A6" s="593"/>
      <c r="B6" s="1397"/>
      <c r="C6" s="592"/>
      <c r="D6" s="1406" t="s">
        <v>1099</v>
      </c>
      <c r="E6" s="1407"/>
      <c r="F6" s="1407"/>
      <c r="G6" s="1407"/>
      <c r="H6" s="1407"/>
      <c r="I6" s="1407"/>
      <c r="J6" s="1407"/>
      <c r="K6" s="1407"/>
      <c r="L6" s="1407"/>
      <c r="M6" s="1407"/>
      <c r="N6" s="1407"/>
      <c r="O6" s="1407"/>
      <c r="P6" s="1407"/>
      <c r="Q6" s="1407"/>
      <c r="R6" s="1407"/>
      <c r="S6" s="1407"/>
      <c r="T6" s="1407"/>
      <c r="U6" s="1407"/>
      <c r="V6" s="1407"/>
      <c r="W6" s="1407"/>
      <c r="X6" s="1407"/>
      <c r="Y6" s="1407"/>
      <c r="Z6" s="1407"/>
      <c r="AA6" s="1407"/>
      <c r="AB6" s="1407"/>
      <c r="AC6" s="1407"/>
      <c r="AD6" s="1407"/>
      <c r="AE6" s="1407"/>
      <c r="AF6" s="1407"/>
      <c r="AG6" s="1407"/>
      <c r="AH6" s="1407"/>
      <c r="AI6" s="1407"/>
      <c r="AJ6" s="1407"/>
    </row>
    <row r="7" spans="1:38" ht="24.95" customHeight="1" x14ac:dyDescent="0.2">
      <c r="A7" s="593"/>
      <c r="B7" s="1397"/>
      <c r="C7" s="1408" t="s">
        <v>86</v>
      </c>
      <c r="D7" s="1387" t="s">
        <v>466</v>
      </c>
      <c r="E7" s="1388"/>
      <c r="F7" s="1388"/>
      <c r="G7" s="1388"/>
      <c r="H7" s="1388"/>
      <c r="I7" s="1389"/>
      <c r="J7" s="1388" t="s">
        <v>21</v>
      </c>
      <c r="K7" s="1388"/>
      <c r="L7" s="1388"/>
      <c r="M7" s="1388"/>
      <c r="N7" s="1388"/>
      <c r="O7" s="1389"/>
      <c r="P7" s="1388" t="s">
        <v>464</v>
      </c>
      <c r="Q7" s="1388"/>
      <c r="R7" s="1388"/>
      <c r="S7" s="1388"/>
      <c r="T7" s="1388"/>
      <c r="U7" s="1389"/>
      <c r="V7" s="1388" t="s">
        <v>474</v>
      </c>
      <c r="W7" s="1388"/>
      <c r="X7" s="1388"/>
      <c r="Y7" s="1388"/>
      <c r="Z7" s="1388"/>
      <c r="AA7" s="1389"/>
      <c r="AB7" s="1385" t="s">
        <v>473</v>
      </c>
      <c r="AC7" s="1386"/>
      <c r="AD7" s="1398" t="s">
        <v>274</v>
      </c>
      <c r="AE7" s="1399"/>
      <c r="AF7" s="1385" t="s">
        <v>465</v>
      </c>
      <c r="AG7" s="1386"/>
      <c r="AH7" s="1403" t="s">
        <v>550</v>
      </c>
      <c r="AI7" s="1404"/>
      <c r="AJ7" s="1405"/>
    </row>
    <row r="8" spans="1:38" ht="26.25" customHeight="1" x14ac:dyDescent="0.2">
      <c r="A8" s="593"/>
      <c r="B8" s="1397"/>
      <c r="C8" s="1409"/>
      <c r="D8" s="1390"/>
      <c r="E8" s="1391"/>
      <c r="F8" s="1391"/>
      <c r="G8" s="1391"/>
      <c r="H8" s="1391"/>
      <c r="I8" s="1392"/>
      <c r="J8" s="1391"/>
      <c r="K8" s="1391"/>
      <c r="L8" s="1391"/>
      <c r="M8" s="1391"/>
      <c r="N8" s="1391"/>
      <c r="O8" s="1392"/>
      <c r="P8" s="1391"/>
      <c r="Q8" s="1391"/>
      <c r="R8" s="1391"/>
      <c r="S8" s="1391"/>
      <c r="T8" s="1391"/>
      <c r="U8" s="1392"/>
      <c r="V8" s="1391"/>
      <c r="W8" s="1391"/>
      <c r="X8" s="1391"/>
      <c r="Y8" s="1391"/>
      <c r="Z8" s="1391"/>
      <c r="AA8" s="1392"/>
      <c r="AB8" s="1385"/>
      <c r="AC8" s="1386"/>
      <c r="AD8" s="1400"/>
      <c r="AE8" s="1401"/>
      <c r="AF8" s="1385"/>
      <c r="AG8" s="1386"/>
      <c r="AH8" s="1403"/>
      <c r="AI8" s="1404"/>
      <c r="AJ8" s="1405"/>
    </row>
    <row r="9" spans="1:38" s="190" customFormat="1" ht="40.9" customHeight="1" x14ac:dyDescent="0.15">
      <c r="A9" s="594"/>
      <c r="B9" s="1397"/>
      <c r="C9" s="1410"/>
      <c r="D9" s="1095" t="s">
        <v>62</v>
      </c>
      <c r="E9" s="761" t="s">
        <v>1302</v>
      </c>
      <c r="F9" s="1148" t="s">
        <v>1300</v>
      </c>
      <c r="G9" s="1157" t="s">
        <v>63</v>
      </c>
      <c r="H9" s="761" t="s">
        <v>1302</v>
      </c>
      <c r="I9" s="1123" t="s">
        <v>1301</v>
      </c>
      <c r="J9" s="1096" t="s">
        <v>62</v>
      </c>
      <c r="K9" s="761" t="s">
        <v>1302</v>
      </c>
      <c r="L9" s="1148" t="s">
        <v>1300</v>
      </c>
      <c r="M9" s="1095" t="s">
        <v>63</v>
      </c>
      <c r="N9" s="761" t="s">
        <v>1302</v>
      </c>
      <c r="O9" s="1123" t="s">
        <v>1301</v>
      </c>
      <c r="P9" s="1096" t="s">
        <v>62</v>
      </c>
      <c r="Q9" s="761" t="s">
        <v>1302</v>
      </c>
      <c r="R9" s="1148" t="s">
        <v>1300</v>
      </c>
      <c r="S9" s="1095" t="s">
        <v>63</v>
      </c>
      <c r="T9" s="761" t="s">
        <v>1302</v>
      </c>
      <c r="U9" s="1123" t="s">
        <v>1301</v>
      </c>
      <c r="V9" s="1096" t="s">
        <v>62</v>
      </c>
      <c r="W9" s="761" t="s">
        <v>1302</v>
      </c>
      <c r="X9" s="1148" t="s">
        <v>1300</v>
      </c>
      <c r="Y9" s="1096" t="s">
        <v>63</v>
      </c>
      <c r="Z9" s="761" t="s">
        <v>1302</v>
      </c>
      <c r="AA9" s="1123" t="s">
        <v>1301</v>
      </c>
      <c r="AB9" s="1096" t="s">
        <v>62</v>
      </c>
      <c r="AC9" s="1133" t="s">
        <v>63</v>
      </c>
      <c r="AD9" s="1096" t="s">
        <v>62</v>
      </c>
      <c r="AE9" s="1133" t="s">
        <v>63</v>
      </c>
      <c r="AF9" s="1096" t="s">
        <v>62</v>
      </c>
      <c r="AG9" s="1133" t="s">
        <v>63</v>
      </c>
      <c r="AH9" s="1136" t="s">
        <v>1303</v>
      </c>
      <c r="AI9" s="1097" t="s">
        <v>1304</v>
      </c>
      <c r="AJ9" s="1142" t="s">
        <v>1305</v>
      </c>
      <c r="AK9" s="246"/>
      <c r="AL9" s="246"/>
    </row>
    <row r="10" spans="1:38" s="190" customFormat="1" ht="15" customHeight="1" x14ac:dyDescent="0.2">
      <c r="A10" s="594"/>
      <c r="B10" s="1098">
        <v>1</v>
      </c>
      <c r="C10" s="1099" t="s">
        <v>1019</v>
      </c>
      <c r="D10" s="756">
        <v>4645</v>
      </c>
      <c r="E10" s="756"/>
      <c r="F10" s="1155"/>
      <c r="G10" s="1091"/>
      <c r="H10" s="756"/>
      <c r="I10" s="1124"/>
      <c r="J10" s="1091">
        <v>1104</v>
      </c>
      <c r="K10" s="756"/>
      <c r="L10" s="1155"/>
      <c r="M10" s="1091"/>
      <c r="N10" s="756"/>
      <c r="O10" s="1124"/>
      <c r="P10" s="1131">
        <f>4168+6900</f>
        <v>11068</v>
      </c>
      <c r="Q10" s="1100"/>
      <c r="R10" s="1149"/>
      <c r="S10" s="1091"/>
      <c r="T10" s="756"/>
      <c r="U10" s="1124"/>
      <c r="V10" s="1091"/>
      <c r="W10" s="756"/>
      <c r="X10" s="1155"/>
      <c r="Y10" s="1091"/>
      <c r="Z10" s="756"/>
      <c r="AA10" s="1124"/>
      <c r="AB10" s="1091"/>
      <c r="AC10" s="1124"/>
      <c r="AD10" s="1091"/>
      <c r="AE10" s="1124"/>
      <c r="AF10" s="1091"/>
      <c r="AG10" s="1124"/>
      <c r="AH10" s="1137">
        <f>SUM(D10:AG10)</f>
        <v>16817</v>
      </c>
      <c r="AI10" s="1101"/>
      <c r="AJ10" s="1143"/>
      <c r="AK10" s="246"/>
      <c r="AL10" s="246"/>
    </row>
    <row r="11" spans="1:38" s="190" customFormat="1" ht="23.25" customHeight="1" x14ac:dyDescent="0.2">
      <c r="A11" s="594"/>
      <c r="B11" s="1098">
        <f>B10+1</f>
        <v>2</v>
      </c>
      <c r="C11" s="1099" t="s">
        <v>1018</v>
      </c>
      <c r="D11" s="756">
        <v>4098</v>
      </c>
      <c r="E11" s="756"/>
      <c r="F11" s="1155"/>
      <c r="G11" s="1091"/>
      <c r="H11" s="756"/>
      <c r="I11" s="1124"/>
      <c r="J11" s="1091">
        <v>902</v>
      </c>
      <c r="K11" s="756"/>
      <c r="L11" s="1155"/>
      <c r="M11" s="1091"/>
      <c r="N11" s="756"/>
      <c r="O11" s="1124"/>
      <c r="P11" s="1131">
        <v>15640</v>
      </c>
      <c r="Q11" s="1100"/>
      <c r="R11" s="1149"/>
      <c r="S11" s="1091"/>
      <c r="T11" s="756"/>
      <c r="U11" s="1124"/>
      <c r="V11" s="1091"/>
      <c r="W11" s="756"/>
      <c r="X11" s="1155"/>
      <c r="Y11" s="1091"/>
      <c r="Z11" s="756"/>
      <c r="AA11" s="1124"/>
      <c r="AB11" s="1091"/>
      <c r="AC11" s="1124"/>
      <c r="AD11" s="1091"/>
      <c r="AE11" s="1124"/>
      <c r="AF11" s="1091"/>
      <c r="AG11" s="1124"/>
      <c r="AH11" s="1137">
        <f>SUM(D11:AG11)</f>
        <v>20640</v>
      </c>
      <c r="AI11" s="1101"/>
      <c r="AJ11" s="1143"/>
      <c r="AK11" s="246"/>
      <c r="AL11" s="246"/>
    </row>
    <row r="12" spans="1:38" s="243" customFormat="1" ht="13.5" customHeight="1" x14ac:dyDescent="0.2">
      <c r="A12" s="595"/>
      <c r="B12" s="1098">
        <f t="shared" ref="B12:B62" si="0">B11+1</f>
        <v>3</v>
      </c>
      <c r="C12" s="1102" t="s">
        <v>1036</v>
      </c>
      <c r="D12" s="1103"/>
      <c r="E12" s="1103"/>
      <c r="F12" s="1158"/>
      <c r="G12" s="1117"/>
      <c r="H12" s="1104"/>
      <c r="I12" s="1125"/>
      <c r="J12" s="1117"/>
      <c r="K12" s="1104"/>
      <c r="L12" s="1160"/>
      <c r="M12" s="1117"/>
      <c r="N12" s="1104"/>
      <c r="O12" s="1125"/>
      <c r="P12" s="1122"/>
      <c r="Q12" s="1105"/>
      <c r="R12" s="1150"/>
      <c r="S12" s="1121">
        <v>5000</v>
      </c>
      <c r="T12" s="1106"/>
      <c r="U12" s="1129"/>
      <c r="V12" s="1122"/>
      <c r="W12" s="1105"/>
      <c r="X12" s="1150"/>
      <c r="Y12" s="1117"/>
      <c r="Z12" s="1104"/>
      <c r="AA12" s="1125"/>
      <c r="AB12" s="1117"/>
      <c r="AC12" s="1125"/>
      <c r="AD12" s="1117"/>
      <c r="AE12" s="1125"/>
      <c r="AF12" s="1117"/>
      <c r="AG12" s="1125"/>
      <c r="AH12" s="1137">
        <f t="shared" ref="AH12:AH62" si="1">SUM(D12:AG12)</f>
        <v>5000</v>
      </c>
      <c r="AI12" s="726"/>
      <c r="AJ12" s="1144"/>
      <c r="AK12" s="244"/>
      <c r="AL12" s="244"/>
    </row>
    <row r="13" spans="1:38" s="243" customFormat="1" ht="17.25" customHeight="1" x14ac:dyDescent="0.2">
      <c r="A13" s="595"/>
      <c r="B13" s="1098">
        <f t="shared" si="0"/>
        <v>4</v>
      </c>
      <c r="C13" s="1099" t="s">
        <v>1017</v>
      </c>
      <c r="D13" s="1103"/>
      <c r="E13" s="1103"/>
      <c r="F13" s="1158"/>
      <c r="G13" s="1117"/>
      <c r="H13" s="1104"/>
      <c r="I13" s="1125"/>
      <c r="J13" s="1117"/>
      <c r="K13" s="1163"/>
      <c r="L13" s="1160"/>
      <c r="M13" s="1117"/>
      <c r="N13" s="1104"/>
      <c r="O13" s="1125"/>
      <c r="P13" s="1122">
        <v>1969</v>
      </c>
      <c r="Q13" s="1105"/>
      <c r="R13" s="1150"/>
      <c r="S13" s="1118"/>
      <c r="T13" s="727"/>
      <c r="U13" s="1126"/>
      <c r="V13" s="1122"/>
      <c r="W13" s="1105"/>
      <c r="X13" s="1150"/>
      <c r="Y13" s="1117"/>
      <c r="Z13" s="1104"/>
      <c r="AA13" s="1125"/>
      <c r="AB13" s="1117"/>
      <c r="AC13" s="1125"/>
      <c r="AD13" s="1117"/>
      <c r="AE13" s="1125"/>
      <c r="AF13" s="1117"/>
      <c r="AG13" s="1125"/>
      <c r="AH13" s="1137">
        <f t="shared" si="1"/>
        <v>1969</v>
      </c>
      <c r="AI13" s="1101"/>
      <c r="AJ13" s="1143"/>
      <c r="AK13" s="244"/>
      <c r="AL13" s="244"/>
    </row>
    <row r="14" spans="1:38" s="243" customFormat="1" ht="16.5" customHeight="1" x14ac:dyDescent="0.2">
      <c r="A14" s="595"/>
      <c r="B14" s="1098">
        <f t="shared" si="0"/>
        <v>5</v>
      </c>
      <c r="C14" s="1099" t="s">
        <v>1232</v>
      </c>
      <c r="D14" s="1103"/>
      <c r="E14" s="1103"/>
      <c r="F14" s="1158"/>
      <c r="G14" s="1117"/>
      <c r="H14" s="1104"/>
      <c r="I14" s="1125"/>
      <c r="J14" s="1161"/>
      <c r="K14" s="590"/>
      <c r="L14" s="1162"/>
      <c r="M14" s="1117"/>
      <c r="N14" s="1104"/>
      <c r="O14" s="1125"/>
      <c r="P14" s="1122"/>
      <c r="Q14" s="1105"/>
      <c r="R14" s="1150"/>
      <c r="S14" s="1121"/>
      <c r="T14" s="1106"/>
      <c r="U14" s="1129"/>
      <c r="V14" s="1122"/>
      <c r="W14" s="1105"/>
      <c r="X14" s="1150"/>
      <c r="Y14" s="1117"/>
      <c r="Z14" s="1104"/>
      <c r="AA14" s="1125"/>
      <c r="AB14" s="1117"/>
      <c r="AC14" s="1125"/>
      <c r="AD14" s="1117"/>
      <c r="AE14" s="1125"/>
      <c r="AF14" s="1117"/>
      <c r="AG14" s="1141">
        <f>'ellátottak önk.'!F13</f>
        <v>850</v>
      </c>
      <c r="AH14" s="1137">
        <f t="shared" si="1"/>
        <v>850</v>
      </c>
      <c r="AI14" s="1092"/>
      <c r="AJ14" s="1144"/>
      <c r="AK14" s="244"/>
      <c r="AL14" s="244"/>
    </row>
    <row r="15" spans="1:38" s="243" customFormat="1" ht="16.5" customHeight="1" x14ac:dyDescent="0.2">
      <c r="A15" s="595"/>
      <c r="B15" s="1098">
        <f t="shared" si="0"/>
        <v>6</v>
      </c>
      <c r="C15" s="1099" t="s">
        <v>1231</v>
      </c>
      <c r="D15" s="1103"/>
      <c r="E15" s="1103"/>
      <c r="F15" s="1158"/>
      <c r="G15" s="1117"/>
      <c r="H15" s="1104"/>
      <c r="I15" s="1125"/>
      <c r="J15" s="1117"/>
      <c r="K15" s="1164"/>
      <c r="L15" s="1160"/>
      <c r="M15" s="1117"/>
      <c r="N15" s="1104"/>
      <c r="O15" s="1125"/>
      <c r="P15" s="1122"/>
      <c r="Q15" s="1105"/>
      <c r="R15" s="1150"/>
      <c r="S15" s="1121"/>
      <c r="T15" s="1106"/>
      <c r="U15" s="1129"/>
      <c r="V15" s="1122"/>
      <c r="W15" s="1105"/>
      <c r="X15" s="1150"/>
      <c r="Y15" s="1117"/>
      <c r="Z15" s="1104"/>
      <c r="AA15" s="1125"/>
      <c r="AB15" s="1117"/>
      <c r="AC15" s="1125"/>
      <c r="AD15" s="1117"/>
      <c r="AE15" s="1125"/>
      <c r="AF15" s="1117"/>
      <c r="AG15" s="1141">
        <v>600</v>
      </c>
      <c r="AH15" s="1137">
        <f t="shared" ref="AH15:AH25" si="2">SUM(D15:AG15)</f>
        <v>600</v>
      </c>
      <c r="AI15" s="1092"/>
      <c r="AJ15" s="1144"/>
      <c r="AK15" s="244"/>
      <c r="AL15" s="244"/>
    </row>
    <row r="16" spans="1:38" s="243" customFormat="1" ht="16.5" customHeight="1" x14ac:dyDescent="0.2">
      <c r="A16" s="595"/>
      <c r="B16" s="1098">
        <f t="shared" si="0"/>
        <v>7</v>
      </c>
      <c r="C16" s="1099" t="s">
        <v>1233</v>
      </c>
      <c r="D16" s="1103"/>
      <c r="E16" s="1103"/>
      <c r="F16" s="1158"/>
      <c r="G16" s="1117"/>
      <c r="H16" s="1104"/>
      <c r="I16" s="1125"/>
      <c r="J16" s="1117"/>
      <c r="K16" s="1104"/>
      <c r="L16" s="1160"/>
      <c r="M16" s="1117"/>
      <c r="N16" s="1104"/>
      <c r="O16" s="1125"/>
      <c r="P16" s="1122"/>
      <c r="Q16" s="1105"/>
      <c r="R16" s="1150"/>
      <c r="S16" s="1121"/>
      <c r="T16" s="1106"/>
      <c r="U16" s="1129"/>
      <c r="V16" s="1122"/>
      <c r="W16" s="1105"/>
      <c r="X16" s="1150"/>
      <c r="Y16" s="1117"/>
      <c r="Z16" s="1104"/>
      <c r="AA16" s="1125"/>
      <c r="AB16" s="1117"/>
      <c r="AC16" s="1125"/>
      <c r="AD16" s="1117"/>
      <c r="AE16" s="1125"/>
      <c r="AF16" s="1117"/>
      <c r="AG16" s="1141">
        <v>800</v>
      </c>
      <c r="AH16" s="1137">
        <f t="shared" si="2"/>
        <v>800</v>
      </c>
      <c r="AI16" s="1092"/>
      <c r="AJ16" s="1144"/>
      <c r="AK16" s="244"/>
      <c r="AL16" s="244"/>
    </row>
    <row r="17" spans="1:38" s="243" customFormat="1" ht="15.75" customHeight="1" x14ac:dyDescent="0.2">
      <c r="A17" s="595"/>
      <c r="B17" s="1098">
        <f t="shared" si="0"/>
        <v>8</v>
      </c>
      <c r="C17" s="1099" t="s">
        <v>1234</v>
      </c>
      <c r="D17" s="1103"/>
      <c r="E17" s="1103"/>
      <c r="F17" s="1158"/>
      <c r="G17" s="1117"/>
      <c r="H17" s="1104"/>
      <c r="I17" s="1125"/>
      <c r="J17" s="1117"/>
      <c r="K17" s="1104"/>
      <c r="L17" s="1160"/>
      <c r="M17" s="1117"/>
      <c r="N17" s="1104"/>
      <c r="O17" s="1125"/>
      <c r="P17" s="1122"/>
      <c r="Q17" s="1105"/>
      <c r="R17" s="1150"/>
      <c r="S17" s="1121"/>
      <c r="T17" s="1106"/>
      <c r="U17" s="1129"/>
      <c r="V17" s="1122"/>
      <c r="W17" s="1105"/>
      <c r="X17" s="1150"/>
      <c r="Y17" s="1117"/>
      <c r="Z17" s="1104"/>
      <c r="AA17" s="1125"/>
      <c r="AB17" s="1117"/>
      <c r="AC17" s="1125"/>
      <c r="AD17" s="1117"/>
      <c r="AE17" s="1125"/>
      <c r="AF17" s="1117"/>
      <c r="AG17" s="1141">
        <v>1000</v>
      </c>
      <c r="AH17" s="1137">
        <f t="shared" si="2"/>
        <v>1000</v>
      </c>
      <c r="AI17" s="1092"/>
      <c r="AJ17" s="1144"/>
      <c r="AK17" s="244"/>
      <c r="AL17" s="244"/>
    </row>
    <row r="18" spans="1:38" s="243" customFormat="1" ht="13.5" customHeight="1" x14ac:dyDescent="0.2">
      <c r="A18" s="595"/>
      <c r="B18" s="1098">
        <f t="shared" si="0"/>
        <v>9</v>
      </c>
      <c r="C18" s="1099" t="s">
        <v>1235</v>
      </c>
      <c r="D18" s="1103"/>
      <c r="E18" s="1103"/>
      <c r="F18" s="1158"/>
      <c r="G18" s="1117"/>
      <c r="H18" s="1104"/>
      <c r="I18" s="1125"/>
      <c r="J18" s="1117"/>
      <c r="K18" s="1104"/>
      <c r="L18" s="1160"/>
      <c r="M18" s="1117"/>
      <c r="N18" s="1104"/>
      <c r="O18" s="1125"/>
      <c r="P18" s="1122"/>
      <c r="Q18" s="1105"/>
      <c r="R18" s="1150"/>
      <c r="S18" s="1121"/>
      <c r="T18" s="1106"/>
      <c r="U18" s="1129"/>
      <c r="V18" s="1122"/>
      <c r="W18" s="1105"/>
      <c r="X18" s="1150"/>
      <c r="Y18" s="1117"/>
      <c r="Z18" s="1104"/>
      <c r="AA18" s="1125"/>
      <c r="AB18" s="1117"/>
      <c r="AC18" s="1125"/>
      <c r="AD18" s="1117"/>
      <c r="AE18" s="1125"/>
      <c r="AF18" s="1117"/>
      <c r="AG18" s="1141">
        <v>600</v>
      </c>
      <c r="AH18" s="1137">
        <f t="shared" si="2"/>
        <v>600</v>
      </c>
      <c r="AI18" s="1092"/>
      <c r="AJ18" s="1144"/>
      <c r="AK18" s="1147"/>
      <c r="AL18" s="248"/>
    </row>
    <row r="19" spans="1:38" s="243" customFormat="1" ht="13.5" customHeight="1" x14ac:dyDescent="0.2">
      <c r="A19" s="595"/>
      <c r="B19" s="1098">
        <f t="shared" si="0"/>
        <v>10</v>
      </c>
      <c r="C19" s="1099" t="s">
        <v>1236</v>
      </c>
      <c r="D19" s="1103"/>
      <c r="E19" s="1103"/>
      <c r="F19" s="1158"/>
      <c r="G19" s="1117"/>
      <c r="H19" s="1104"/>
      <c r="I19" s="1125"/>
      <c r="J19" s="1117"/>
      <c r="K19" s="1104"/>
      <c r="L19" s="1160"/>
      <c r="M19" s="1117"/>
      <c r="N19" s="1104"/>
      <c r="O19" s="1125"/>
      <c r="P19" s="1122"/>
      <c r="Q19" s="1105"/>
      <c r="R19" s="1150"/>
      <c r="S19" s="1121"/>
      <c r="T19" s="1106"/>
      <c r="U19" s="1129"/>
      <c r="V19" s="1122"/>
      <c r="W19" s="1105"/>
      <c r="X19" s="1150"/>
      <c r="Y19" s="1117"/>
      <c r="Z19" s="1104"/>
      <c r="AA19" s="1125"/>
      <c r="AB19" s="1117"/>
      <c r="AC19" s="1125"/>
      <c r="AD19" s="1117"/>
      <c r="AE19" s="1125"/>
      <c r="AF19" s="1135">
        <v>2300</v>
      </c>
      <c r="AG19" s="1141"/>
      <c r="AH19" s="1137">
        <f t="shared" si="2"/>
        <v>2300</v>
      </c>
      <c r="AI19" s="1092"/>
      <c r="AJ19" s="1144"/>
      <c r="AK19" s="1147"/>
      <c r="AL19" s="244"/>
    </row>
    <row r="20" spans="1:38" s="243" customFormat="1" ht="12" customHeight="1" x14ac:dyDescent="0.2">
      <c r="A20" s="595"/>
      <c r="B20" s="1098">
        <f t="shared" si="0"/>
        <v>11</v>
      </c>
      <c r="C20" s="1099" t="s">
        <v>1022</v>
      </c>
      <c r="D20" s="1103"/>
      <c r="E20" s="1103"/>
      <c r="F20" s="1158"/>
      <c r="G20" s="1117"/>
      <c r="H20" s="1104"/>
      <c r="I20" s="1125"/>
      <c r="J20" s="1117"/>
      <c r="K20" s="1104"/>
      <c r="L20" s="1160"/>
      <c r="M20" s="1117"/>
      <c r="N20" s="1104"/>
      <c r="O20" s="1125"/>
      <c r="P20" s="1122"/>
      <c r="Q20" s="1105"/>
      <c r="R20" s="1150"/>
      <c r="S20" s="1121"/>
      <c r="T20" s="1106"/>
      <c r="U20" s="1129"/>
      <c r="V20" s="1122"/>
      <c r="W20" s="1105"/>
      <c r="X20" s="1150"/>
      <c r="Y20" s="1117"/>
      <c r="Z20" s="1104"/>
      <c r="AA20" s="1125"/>
      <c r="AB20" s="1117"/>
      <c r="AC20" s="1125"/>
      <c r="AD20" s="1117"/>
      <c r="AE20" s="1125"/>
      <c r="AF20" s="1117"/>
      <c r="AG20" s="1141">
        <f>'ellátottak önk.'!F22</f>
        <v>1100</v>
      </c>
      <c r="AH20" s="1137">
        <f t="shared" si="2"/>
        <v>1100</v>
      </c>
      <c r="AI20" s="1092"/>
      <c r="AJ20" s="1144"/>
      <c r="AK20" s="244"/>
      <c r="AL20" s="244"/>
    </row>
    <row r="21" spans="1:38" s="243" customFormat="1" ht="15" customHeight="1" x14ac:dyDescent="0.2">
      <c r="A21" s="595"/>
      <c r="B21" s="1098">
        <f t="shared" si="0"/>
        <v>12</v>
      </c>
      <c r="C21" s="1099" t="s">
        <v>1023</v>
      </c>
      <c r="D21" s="1103"/>
      <c r="E21" s="1103"/>
      <c r="F21" s="1158"/>
      <c r="G21" s="1117"/>
      <c r="H21" s="1104"/>
      <c r="I21" s="1125"/>
      <c r="J21" s="1117"/>
      <c r="K21" s="1104"/>
      <c r="L21" s="1160"/>
      <c r="M21" s="1117"/>
      <c r="N21" s="1104"/>
      <c r="O21" s="1125"/>
      <c r="P21" s="1122"/>
      <c r="Q21" s="1105"/>
      <c r="R21" s="1150"/>
      <c r="S21" s="1121"/>
      <c r="T21" s="1106"/>
      <c r="U21" s="1129"/>
      <c r="V21" s="1122"/>
      <c r="W21" s="1105"/>
      <c r="X21" s="1150"/>
      <c r="Y21" s="1117"/>
      <c r="Z21" s="1104"/>
      <c r="AA21" s="1125"/>
      <c r="AB21" s="1117"/>
      <c r="AC21" s="1125"/>
      <c r="AD21" s="1117"/>
      <c r="AE21" s="1125"/>
      <c r="AF21" s="1117"/>
      <c r="AG21" s="1141">
        <f>'ellátottak önk.'!F21</f>
        <v>1800</v>
      </c>
      <c r="AH21" s="1137">
        <f t="shared" si="2"/>
        <v>1800</v>
      </c>
      <c r="AI21" s="1092"/>
      <c r="AJ21" s="1144"/>
      <c r="AK21" s="244"/>
      <c r="AL21" s="244"/>
    </row>
    <row r="22" spans="1:38" s="243" customFormat="1" ht="13.5" customHeight="1" x14ac:dyDescent="0.2">
      <c r="A22" s="595"/>
      <c r="B22" s="1098">
        <f t="shared" si="0"/>
        <v>13</v>
      </c>
      <c r="C22" s="1099" t="s">
        <v>1237</v>
      </c>
      <c r="D22" s="1103"/>
      <c r="E22" s="1103"/>
      <c r="F22" s="1158"/>
      <c r="G22" s="1117"/>
      <c r="H22" s="1104"/>
      <c r="I22" s="1125"/>
      <c r="J22" s="1117"/>
      <c r="K22" s="1104"/>
      <c r="L22" s="1160"/>
      <c r="M22" s="1117"/>
      <c r="N22" s="1104"/>
      <c r="O22" s="1125"/>
      <c r="P22" s="1122"/>
      <c r="Q22" s="1105"/>
      <c r="R22" s="1150"/>
      <c r="S22" s="1121"/>
      <c r="T22" s="1106"/>
      <c r="U22" s="1129"/>
      <c r="V22" s="1122"/>
      <c r="W22" s="1105"/>
      <c r="X22" s="1150"/>
      <c r="Y22" s="1117"/>
      <c r="Z22" s="1104"/>
      <c r="AA22" s="1125"/>
      <c r="AB22" s="1117"/>
      <c r="AC22" s="1125"/>
      <c r="AD22" s="1117"/>
      <c r="AE22" s="1125"/>
      <c r="AF22" s="1135">
        <v>500</v>
      </c>
      <c r="AG22" s="1141">
        <f>'ellátottak önk.'!F20</f>
        <v>0</v>
      </c>
      <c r="AH22" s="1137">
        <f t="shared" si="2"/>
        <v>500</v>
      </c>
      <c r="AI22" s="1092"/>
      <c r="AJ22" s="1144"/>
      <c r="AK22" s="244"/>
      <c r="AL22" s="244"/>
    </row>
    <row r="23" spans="1:38" s="243" customFormat="1" ht="13.5" customHeight="1" x14ac:dyDescent="0.2">
      <c r="A23" s="595"/>
      <c r="B23" s="1098">
        <f t="shared" si="0"/>
        <v>14</v>
      </c>
      <c r="C23" s="1099" t="s">
        <v>1041</v>
      </c>
      <c r="D23" s="1103"/>
      <c r="E23" s="1103"/>
      <c r="F23" s="1158"/>
      <c r="G23" s="1117"/>
      <c r="H23" s="1104"/>
      <c r="I23" s="1125"/>
      <c r="J23" s="1117"/>
      <c r="K23" s="1104"/>
      <c r="L23" s="1160"/>
      <c r="M23" s="1117"/>
      <c r="N23" s="1104"/>
      <c r="O23" s="1125"/>
      <c r="P23" s="1122"/>
      <c r="Q23" s="1105"/>
      <c r="R23" s="1150"/>
      <c r="S23" s="1121"/>
      <c r="T23" s="1106"/>
      <c r="U23" s="1129"/>
      <c r="V23" s="1122"/>
      <c r="W23" s="1105"/>
      <c r="X23" s="1150"/>
      <c r="Y23" s="1117"/>
      <c r="Z23" s="1104"/>
      <c r="AA23" s="1125"/>
      <c r="AB23" s="1117"/>
      <c r="AC23" s="1125"/>
      <c r="AD23" s="1117"/>
      <c r="AE23" s="1125"/>
      <c r="AF23" s="1117"/>
      <c r="AG23" s="1141">
        <f>'ellátottak önk.'!F30</f>
        <v>4200</v>
      </c>
      <c r="AH23" s="1137">
        <f t="shared" si="2"/>
        <v>4200</v>
      </c>
      <c r="AI23" s="1092"/>
      <c r="AJ23" s="1144"/>
      <c r="AK23" s="244"/>
      <c r="AL23" s="244"/>
    </row>
    <row r="24" spans="1:38" s="243" customFormat="1" ht="12.75" customHeight="1" x14ac:dyDescent="0.2">
      <c r="A24" s="595"/>
      <c r="B24" s="1098">
        <f t="shared" si="0"/>
        <v>15</v>
      </c>
      <c r="C24" s="1099" t="s">
        <v>581</v>
      </c>
      <c r="D24" s="1103"/>
      <c r="E24" s="1103"/>
      <c r="F24" s="1158"/>
      <c r="G24" s="1117"/>
      <c r="H24" s="1104"/>
      <c r="I24" s="1125"/>
      <c r="J24" s="1117"/>
      <c r="K24" s="1104"/>
      <c r="L24" s="1160"/>
      <c r="M24" s="1117"/>
      <c r="N24" s="1104"/>
      <c r="O24" s="1125"/>
      <c r="P24" s="1122"/>
      <c r="Q24" s="1105"/>
      <c r="R24" s="1150"/>
      <c r="S24" s="1121">
        <v>400</v>
      </c>
      <c r="T24" s="1106"/>
      <c r="U24" s="1129"/>
      <c r="V24" s="1122"/>
      <c r="W24" s="1105"/>
      <c r="X24" s="1150"/>
      <c r="Y24" s="1117"/>
      <c r="Z24" s="1104"/>
      <c r="AA24" s="1125"/>
      <c r="AB24" s="1117"/>
      <c r="AC24" s="1125"/>
      <c r="AD24" s="1117"/>
      <c r="AE24" s="1125"/>
      <c r="AF24" s="1135">
        <f>'ellátottak önk.'!E26</f>
        <v>0</v>
      </c>
      <c r="AG24" s="1141">
        <f>'ellátottak önk.'!F26</f>
        <v>0</v>
      </c>
      <c r="AH24" s="1137">
        <f t="shared" si="2"/>
        <v>400</v>
      </c>
      <c r="AI24" s="1107"/>
      <c r="AJ24" s="1144"/>
      <c r="AK24" s="244"/>
      <c r="AL24" s="244"/>
    </row>
    <row r="25" spans="1:38" s="243" customFormat="1" ht="14.25" customHeight="1" x14ac:dyDescent="0.2">
      <c r="A25" s="595"/>
      <c r="B25" s="1098">
        <f t="shared" si="0"/>
        <v>16</v>
      </c>
      <c r="C25" s="1099" t="s">
        <v>1040</v>
      </c>
      <c r="D25" s="1103"/>
      <c r="E25" s="1103"/>
      <c r="F25" s="1158"/>
      <c r="G25" s="1117"/>
      <c r="H25" s="1104"/>
      <c r="I25" s="1125"/>
      <c r="J25" s="1117"/>
      <c r="K25" s="1104"/>
      <c r="L25" s="1160"/>
      <c r="M25" s="1117"/>
      <c r="N25" s="1104"/>
      <c r="O25" s="1125"/>
      <c r="P25" s="1122">
        <v>660</v>
      </c>
      <c r="Q25" s="1105"/>
      <c r="R25" s="1150"/>
      <c r="S25" s="1121">
        <v>1577</v>
      </c>
      <c r="T25" s="1106"/>
      <c r="U25" s="1129"/>
      <c r="V25" s="1122"/>
      <c r="W25" s="1105"/>
      <c r="X25" s="1150"/>
      <c r="Y25" s="1117"/>
      <c r="Z25" s="1104"/>
      <c r="AA25" s="1125"/>
      <c r="AB25" s="1117"/>
      <c r="AC25" s="1125"/>
      <c r="AD25" s="1117"/>
      <c r="AE25" s="1125"/>
      <c r="AF25" s="1135">
        <f>'ellátottak önk.'!E27</f>
        <v>0</v>
      </c>
      <c r="AG25" s="1141">
        <v>0</v>
      </c>
      <c r="AH25" s="1137">
        <f t="shared" si="2"/>
        <v>2237</v>
      </c>
      <c r="AI25" s="1107"/>
      <c r="AJ25" s="1144"/>
      <c r="AK25" s="244"/>
      <c r="AL25" s="244"/>
    </row>
    <row r="26" spans="1:38" s="243" customFormat="1" ht="15" customHeight="1" x14ac:dyDescent="0.2">
      <c r="A26" s="595"/>
      <c r="B26" s="1098">
        <f t="shared" si="0"/>
        <v>17</v>
      </c>
      <c r="C26" s="764" t="s">
        <v>1025</v>
      </c>
      <c r="D26" s="727"/>
      <c r="E26" s="727"/>
      <c r="F26" s="1151"/>
      <c r="G26" s="1118"/>
      <c r="H26" s="727"/>
      <c r="I26" s="1126"/>
      <c r="J26" s="1118"/>
      <c r="K26" s="727"/>
      <c r="L26" s="1151"/>
      <c r="M26" s="1118"/>
      <c r="N26" s="727"/>
      <c r="O26" s="1126"/>
      <c r="P26" s="1118"/>
      <c r="Q26" s="727"/>
      <c r="R26" s="1151"/>
      <c r="S26" s="1118">
        <v>20</v>
      </c>
      <c r="T26" s="727"/>
      <c r="U26" s="1126"/>
      <c r="V26" s="1118"/>
      <c r="W26" s="727"/>
      <c r="X26" s="1151"/>
      <c r="Y26" s="1118"/>
      <c r="Z26" s="727"/>
      <c r="AA26" s="1126"/>
      <c r="AB26" s="1118"/>
      <c r="AC26" s="1126"/>
      <c r="AD26" s="1118"/>
      <c r="AE26" s="1126"/>
      <c r="AF26" s="1118"/>
      <c r="AG26" s="1126"/>
      <c r="AH26" s="1138">
        <f t="shared" si="1"/>
        <v>20</v>
      </c>
      <c r="AI26" s="726"/>
      <c r="AJ26" s="1144"/>
      <c r="AK26" s="244"/>
      <c r="AL26" s="244"/>
    </row>
    <row r="27" spans="1:38" s="243" customFormat="1" ht="15" customHeight="1" x14ac:dyDescent="0.2">
      <c r="A27" s="595"/>
      <c r="B27" s="1098">
        <f t="shared" si="0"/>
        <v>18</v>
      </c>
      <c r="C27" s="764" t="s">
        <v>1024</v>
      </c>
      <c r="D27" s="727"/>
      <c r="E27" s="727"/>
      <c r="F27" s="1151"/>
      <c r="G27" s="1118"/>
      <c r="H27" s="727"/>
      <c r="I27" s="1126"/>
      <c r="J27" s="1118"/>
      <c r="K27" s="727"/>
      <c r="L27" s="1151"/>
      <c r="M27" s="1118"/>
      <c r="N27" s="727"/>
      <c r="O27" s="1126"/>
      <c r="P27" s="1118"/>
      <c r="Q27" s="727"/>
      <c r="R27" s="1151"/>
      <c r="S27" s="1118">
        <v>120</v>
      </c>
      <c r="T27" s="727"/>
      <c r="U27" s="1126"/>
      <c r="V27" s="1118"/>
      <c r="W27" s="727"/>
      <c r="X27" s="1151"/>
      <c r="Y27" s="1118"/>
      <c r="Z27" s="727"/>
      <c r="AA27" s="1126"/>
      <c r="AB27" s="1118"/>
      <c r="AC27" s="1126"/>
      <c r="AD27" s="1118"/>
      <c r="AE27" s="1126"/>
      <c r="AF27" s="1118"/>
      <c r="AG27" s="1126"/>
      <c r="AH27" s="1138">
        <f t="shared" si="1"/>
        <v>120</v>
      </c>
      <c r="AI27" s="1092"/>
      <c r="AJ27" s="1144"/>
      <c r="AK27" s="244"/>
      <c r="AL27" s="244"/>
    </row>
    <row r="28" spans="1:38" s="243" customFormat="1" ht="15" customHeight="1" x14ac:dyDescent="0.2">
      <c r="A28" s="595"/>
      <c r="B28" s="1098">
        <f t="shared" si="0"/>
        <v>19</v>
      </c>
      <c r="C28" s="764" t="s">
        <v>1042</v>
      </c>
      <c r="D28" s="727"/>
      <c r="E28" s="727"/>
      <c r="F28" s="1151"/>
      <c r="G28" s="1118"/>
      <c r="H28" s="727"/>
      <c r="I28" s="1126"/>
      <c r="J28" s="1118"/>
      <c r="K28" s="727"/>
      <c r="L28" s="1151"/>
      <c r="M28" s="1118"/>
      <c r="N28" s="727"/>
      <c r="O28" s="1126"/>
      <c r="P28" s="1118">
        <v>6431</v>
      </c>
      <c r="Q28" s="727"/>
      <c r="R28" s="1151"/>
      <c r="S28" s="1118">
        <v>7330</v>
      </c>
      <c r="T28" s="727"/>
      <c r="U28" s="1126"/>
      <c r="V28" s="1118"/>
      <c r="W28" s="727"/>
      <c r="X28" s="1151"/>
      <c r="Y28" s="1118"/>
      <c r="Z28" s="727"/>
      <c r="AA28" s="1126"/>
      <c r="AB28" s="1118"/>
      <c r="AC28" s="1126"/>
      <c r="AD28" s="1118"/>
      <c r="AE28" s="1126"/>
      <c r="AF28" s="1118"/>
      <c r="AG28" s="1126"/>
      <c r="AH28" s="1138">
        <f>SUM(D28:AG28)</f>
        <v>13761</v>
      </c>
      <c r="AI28" s="1092"/>
      <c r="AJ28" s="1144"/>
      <c r="AK28" s="244"/>
      <c r="AL28" s="244"/>
    </row>
    <row r="29" spans="1:38" s="243" customFormat="1" ht="15" customHeight="1" x14ac:dyDescent="0.2">
      <c r="A29" s="595"/>
      <c r="B29" s="1098">
        <f t="shared" si="0"/>
        <v>20</v>
      </c>
      <c r="C29" s="764" t="s">
        <v>1048</v>
      </c>
      <c r="D29" s="727"/>
      <c r="E29" s="727"/>
      <c r="F29" s="1151"/>
      <c r="G29" s="1118"/>
      <c r="H29" s="727"/>
      <c r="I29" s="1126"/>
      <c r="J29" s="1118"/>
      <c r="K29" s="727"/>
      <c r="L29" s="1151"/>
      <c r="M29" s="1118"/>
      <c r="N29" s="727"/>
      <c r="O29" s="1126"/>
      <c r="P29" s="1118"/>
      <c r="Q29" s="727"/>
      <c r="R29" s="1151"/>
      <c r="S29" s="1118">
        <v>1390</v>
      </c>
      <c r="T29" s="727"/>
      <c r="U29" s="1126"/>
      <c r="V29" s="1118"/>
      <c r="W29" s="727"/>
      <c r="X29" s="1151"/>
      <c r="Y29" s="1118"/>
      <c r="Z29" s="727"/>
      <c r="AA29" s="1126"/>
      <c r="AB29" s="1118"/>
      <c r="AC29" s="1126"/>
      <c r="AD29" s="1118"/>
      <c r="AE29" s="1126"/>
      <c r="AF29" s="1118"/>
      <c r="AG29" s="1126"/>
      <c r="AH29" s="1138">
        <f t="shared" si="1"/>
        <v>1390</v>
      </c>
      <c r="AI29" s="1092"/>
      <c r="AJ29" s="1144"/>
      <c r="AK29" s="248"/>
      <c r="AL29" s="244"/>
    </row>
    <row r="30" spans="1:38" s="243" customFormat="1" ht="15" customHeight="1" x14ac:dyDescent="0.2">
      <c r="A30" s="595"/>
      <c r="B30" s="1098">
        <f t="shared" si="0"/>
        <v>21</v>
      </c>
      <c r="C30" s="764" t="s">
        <v>1026</v>
      </c>
      <c r="D30" s="727"/>
      <c r="E30" s="727"/>
      <c r="F30" s="1151"/>
      <c r="G30" s="1118"/>
      <c r="H30" s="727"/>
      <c r="I30" s="1126"/>
      <c r="J30" s="1118"/>
      <c r="K30" s="727"/>
      <c r="L30" s="1151"/>
      <c r="M30" s="1118"/>
      <c r="N30" s="727"/>
      <c r="O30" s="1126"/>
      <c r="P30" s="1118">
        <v>288</v>
      </c>
      <c r="Q30" s="727"/>
      <c r="R30" s="1151"/>
      <c r="S30" s="1118">
        <v>13763</v>
      </c>
      <c r="T30" s="727"/>
      <c r="U30" s="1126"/>
      <c r="V30" s="1118"/>
      <c r="W30" s="727"/>
      <c r="X30" s="1151"/>
      <c r="Y30" s="1118"/>
      <c r="Z30" s="727"/>
      <c r="AA30" s="1126"/>
      <c r="AB30" s="1118"/>
      <c r="AC30" s="1126"/>
      <c r="AD30" s="1118"/>
      <c r="AE30" s="1126"/>
      <c r="AF30" s="1118"/>
      <c r="AG30" s="1126"/>
      <c r="AH30" s="1138">
        <f t="shared" si="1"/>
        <v>14051</v>
      </c>
      <c r="AI30" s="1092"/>
      <c r="AJ30" s="1144"/>
      <c r="AK30" s="244"/>
      <c r="AL30" s="244"/>
    </row>
    <row r="31" spans="1:38" s="243" customFormat="1" ht="15" customHeight="1" x14ac:dyDescent="0.2">
      <c r="A31" s="595"/>
      <c r="B31" s="1098">
        <f t="shared" si="0"/>
        <v>22</v>
      </c>
      <c r="C31" s="764" t="s">
        <v>1027</v>
      </c>
      <c r="D31" s="727">
        <v>38037</v>
      </c>
      <c r="E31" s="727"/>
      <c r="F31" s="1151"/>
      <c r="G31" s="1118"/>
      <c r="H31" s="727"/>
      <c r="I31" s="1126"/>
      <c r="J31" s="1118">
        <v>11893</v>
      </c>
      <c r="K31" s="727"/>
      <c r="L31" s="1151"/>
      <c r="M31" s="1118"/>
      <c r="N31" s="727"/>
      <c r="O31" s="1126"/>
      <c r="P31" s="1118">
        <v>1220</v>
      </c>
      <c r="Q31" s="727"/>
      <c r="R31" s="1151"/>
      <c r="S31" s="1118"/>
      <c r="T31" s="727"/>
      <c r="U31" s="1126"/>
      <c r="V31" s="1118"/>
      <c r="W31" s="727"/>
      <c r="X31" s="1151"/>
      <c r="Y31" s="1118"/>
      <c r="Z31" s="727"/>
      <c r="AA31" s="1126"/>
      <c r="AB31" s="1118"/>
      <c r="AC31" s="1126"/>
      <c r="AD31" s="1118"/>
      <c r="AE31" s="1126"/>
      <c r="AF31" s="1118"/>
      <c r="AG31" s="1126"/>
      <c r="AH31" s="1138">
        <f>SUM(D31:AG31)</f>
        <v>51150</v>
      </c>
      <c r="AI31" s="726"/>
      <c r="AJ31" s="1144"/>
      <c r="AK31" s="244"/>
      <c r="AL31" s="244"/>
    </row>
    <row r="32" spans="1:38" s="243" customFormat="1" ht="15" customHeight="1" x14ac:dyDescent="0.2">
      <c r="A32" s="595"/>
      <c r="B32" s="1098">
        <f t="shared" si="0"/>
        <v>23</v>
      </c>
      <c r="C32" s="764" t="s">
        <v>1034</v>
      </c>
      <c r="D32" s="727">
        <v>26</v>
      </c>
      <c r="E32" s="727"/>
      <c r="F32" s="1151"/>
      <c r="G32" s="1118"/>
      <c r="H32" s="727"/>
      <c r="I32" s="1126"/>
      <c r="J32" s="1118">
        <v>22</v>
      </c>
      <c r="K32" s="727"/>
      <c r="L32" s="1151"/>
      <c r="M32" s="1118"/>
      <c r="N32" s="727"/>
      <c r="O32" s="1126"/>
      <c r="P32" s="1118">
        <v>3313</v>
      </c>
      <c r="Q32" s="727"/>
      <c r="R32" s="1151"/>
      <c r="S32" s="1118"/>
      <c r="T32" s="727"/>
      <c r="U32" s="1126"/>
      <c r="V32" s="1118"/>
      <c r="W32" s="727"/>
      <c r="X32" s="1151"/>
      <c r="Y32" s="1118"/>
      <c r="Z32" s="727"/>
      <c r="AA32" s="1126"/>
      <c r="AB32" s="1118"/>
      <c r="AC32" s="1126"/>
      <c r="AD32" s="1118"/>
      <c r="AE32" s="1126"/>
      <c r="AF32" s="1118"/>
      <c r="AG32" s="1126"/>
      <c r="AH32" s="1138">
        <f t="shared" si="1"/>
        <v>3361</v>
      </c>
      <c r="AI32" s="1092"/>
      <c r="AJ32" s="1145"/>
      <c r="AK32" s="244"/>
      <c r="AL32" s="244"/>
    </row>
    <row r="33" spans="1:38" s="417" customFormat="1" ht="15" customHeight="1" x14ac:dyDescent="0.2">
      <c r="A33" s="596"/>
      <c r="B33" s="1098">
        <f t="shared" si="0"/>
        <v>24</v>
      </c>
      <c r="C33" s="1108" t="s">
        <v>1031</v>
      </c>
      <c r="D33" s="1109"/>
      <c r="E33" s="1109"/>
      <c r="F33" s="1152"/>
      <c r="G33" s="1119">
        <f>2200+1000</f>
        <v>3200</v>
      </c>
      <c r="H33" s="1109"/>
      <c r="I33" s="1127"/>
      <c r="J33" s="1119"/>
      <c r="K33" s="1109"/>
      <c r="L33" s="1152"/>
      <c r="M33" s="1119">
        <f>600+200</f>
        <v>800</v>
      </c>
      <c r="N33" s="1109"/>
      <c r="O33" s="1127"/>
      <c r="P33" s="1119"/>
      <c r="Q33" s="1109"/>
      <c r="R33" s="1152"/>
      <c r="S33" s="1119">
        <f>9272+2000</f>
        <v>11272</v>
      </c>
      <c r="T33" s="1109"/>
      <c r="U33" s="1127"/>
      <c r="V33" s="1119"/>
      <c r="W33" s="1109"/>
      <c r="X33" s="1152"/>
      <c r="Y33" s="1119"/>
      <c r="Z33" s="1109"/>
      <c r="AA33" s="1127"/>
      <c r="AB33" s="1119"/>
      <c r="AC33" s="1127"/>
      <c r="AD33" s="1119"/>
      <c r="AE33" s="1127"/>
      <c r="AF33" s="1119"/>
      <c r="AG33" s="1127"/>
      <c r="AH33" s="1139">
        <f t="shared" si="1"/>
        <v>15272</v>
      </c>
      <c r="AI33" s="1110"/>
      <c r="AJ33" s="1146"/>
      <c r="AK33" s="416"/>
      <c r="AL33" s="416"/>
    </row>
    <row r="34" spans="1:38" s="243" customFormat="1" ht="15" customHeight="1" x14ac:dyDescent="0.2">
      <c r="A34" s="595"/>
      <c r="B34" s="1098">
        <f t="shared" si="0"/>
        <v>25</v>
      </c>
      <c r="C34" s="764" t="s">
        <v>1037</v>
      </c>
      <c r="D34" s="727"/>
      <c r="E34" s="727"/>
      <c r="F34" s="1151"/>
      <c r="G34" s="1118"/>
      <c r="H34" s="727"/>
      <c r="I34" s="1126"/>
      <c r="J34" s="1118"/>
      <c r="K34" s="727"/>
      <c r="L34" s="1151"/>
      <c r="M34" s="1118"/>
      <c r="N34" s="727"/>
      <c r="O34" s="1126"/>
      <c r="P34" s="1118">
        <f>20530-5939</f>
        <v>14591</v>
      </c>
      <c r="Q34" s="727"/>
      <c r="R34" s="1151"/>
      <c r="S34" s="1118"/>
      <c r="T34" s="727"/>
      <c r="U34" s="1126"/>
      <c r="V34" s="1118"/>
      <c r="W34" s="727"/>
      <c r="X34" s="1151"/>
      <c r="Y34" s="1118"/>
      <c r="Z34" s="727"/>
      <c r="AA34" s="1126"/>
      <c r="AB34" s="1118"/>
      <c r="AC34" s="1126"/>
      <c r="AD34" s="1118"/>
      <c r="AE34" s="1126"/>
      <c r="AF34" s="1118"/>
      <c r="AG34" s="1126"/>
      <c r="AH34" s="1138">
        <f t="shared" ref="AH34:AH40" si="3">SUM(D34:AG34)</f>
        <v>14591</v>
      </c>
      <c r="AI34" s="1111"/>
      <c r="AJ34" s="1144"/>
      <c r="AK34" s="244"/>
      <c r="AL34" s="244"/>
    </row>
    <row r="35" spans="1:38" s="243" customFormat="1" ht="15" customHeight="1" x14ac:dyDescent="0.2">
      <c r="A35" s="595"/>
      <c r="B35" s="1098">
        <f t="shared" si="0"/>
        <v>26</v>
      </c>
      <c r="C35" s="764" t="s">
        <v>1061</v>
      </c>
      <c r="D35" s="727"/>
      <c r="E35" s="727"/>
      <c r="F35" s="1151"/>
      <c r="G35" s="1118"/>
      <c r="H35" s="727"/>
      <c r="I35" s="1126"/>
      <c r="J35" s="1118"/>
      <c r="K35" s="727"/>
      <c r="L35" s="1151"/>
      <c r="M35" s="1118"/>
      <c r="N35" s="727"/>
      <c r="O35" s="1126"/>
      <c r="P35" s="1118"/>
      <c r="Q35" s="727"/>
      <c r="R35" s="1151"/>
      <c r="S35" s="1118"/>
      <c r="T35" s="727"/>
      <c r="U35" s="1126"/>
      <c r="V35" s="1118"/>
      <c r="W35" s="727"/>
      <c r="X35" s="1151"/>
      <c r="Y35" s="1118"/>
      <c r="Z35" s="727"/>
      <c r="AA35" s="1126"/>
      <c r="AB35" s="1118"/>
      <c r="AC35" s="1126"/>
      <c r="AD35" s="1118"/>
      <c r="AE35" s="1126"/>
      <c r="AF35" s="1118"/>
      <c r="AG35" s="1126"/>
      <c r="AH35" s="1138">
        <v>0</v>
      </c>
      <c r="AI35" s="1111"/>
      <c r="AJ35" s="1144"/>
      <c r="AK35" s="244"/>
      <c r="AL35" s="244"/>
    </row>
    <row r="36" spans="1:38" s="243" customFormat="1" ht="15" customHeight="1" x14ac:dyDescent="0.2">
      <c r="A36" s="595"/>
      <c r="B36" s="1098">
        <f t="shared" si="0"/>
        <v>27</v>
      </c>
      <c r="C36" s="764" t="s">
        <v>1062</v>
      </c>
      <c r="D36" s="727"/>
      <c r="E36" s="727"/>
      <c r="F36" s="1151"/>
      <c r="G36" s="1118"/>
      <c r="H36" s="727"/>
      <c r="I36" s="1126"/>
      <c r="J36" s="1118"/>
      <c r="K36" s="727"/>
      <c r="L36" s="1151"/>
      <c r="M36" s="1118"/>
      <c r="N36" s="727"/>
      <c r="O36" s="1126"/>
      <c r="P36" s="1118"/>
      <c r="Q36" s="727"/>
      <c r="R36" s="1151"/>
      <c r="S36" s="1118"/>
      <c r="T36" s="727"/>
      <c r="U36" s="1126"/>
      <c r="V36" s="1118"/>
      <c r="W36" s="727"/>
      <c r="X36" s="1151"/>
      <c r="Y36" s="1118"/>
      <c r="Z36" s="727"/>
      <c r="AA36" s="1126"/>
      <c r="AB36" s="1118"/>
      <c r="AC36" s="1126"/>
      <c r="AD36" s="1118"/>
      <c r="AE36" s="1126"/>
      <c r="AF36" s="1118"/>
      <c r="AG36" s="1126"/>
      <c r="AH36" s="1138">
        <v>0</v>
      </c>
      <c r="AI36" s="1111"/>
      <c r="AJ36" s="1144"/>
      <c r="AK36" s="244"/>
      <c r="AL36" s="244"/>
    </row>
    <row r="37" spans="1:38" s="243" customFormat="1" ht="15" customHeight="1" x14ac:dyDescent="0.2">
      <c r="A37" s="595"/>
      <c r="B37" s="1098">
        <f t="shared" si="0"/>
        <v>28</v>
      </c>
      <c r="C37" s="764" t="s">
        <v>1033</v>
      </c>
      <c r="D37" s="727"/>
      <c r="E37" s="727"/>
      <c r="F37" s="1151"/>
      <c r="G37" s="1118"/>
      <c r="H37" s="727"/>
      <c r="I37" s="1126"/>
      <c r="J37" s="1118"/>
      <c r="K37" s="727"/>
      <c r="L37" s="1151"/>
      <c r="M37" s="1118"/>
      <c r="N37" s="727"/>
      <c r="O37" s="1126"/>
      <c r="P37" s="1118">
        <v>6833</v>
      </c>
      <c r="Q37" s="727"/>
      <c r="R37" s="1151"/>
      <c r="S37" s="1118"/>
      <c r="T37" s="727"/>
      <c r="U37" s="1126"/>
      <c r="V37" s="1118"/>
      <c r="W37" s="727"/>
      <c r="X37" s="1151"/>
      <c r="Y37" s="1118"/>
      <c r="Z37" s="727"/>
      <c r="AA37" s="1126"/>
      <c r="AB37" s="1118"/>
      <c r="AC37" s="1126"/>
      <c r="AD37" s="1118"/>
      <c r="AE37" s="1126"/>
      <c r="AF37" s="1118"/>
      <c r="AG37" s="1126"/>
      <c r="AH37" s="1138">
        <f t="shared" si="3"/>
        <v>6833</v>
      </c>
      <c r="AI37" s="1111"/>
      <c r="AJ37" s="1144"/>
      <c r="AK37" s="244"/>
      <c r="AL37" s="244"/>
    </row>
    <row r="38" spans="1:38" s="243" customFormat="1" ht="15" customHeight="1" x14ac:dyDescent="0.2">
      <c r="A38" s="595"/>
      <c r="B38" s="1098">
        <f t="shared" si="0"/>
        <v>29</v>
      </c>
      <c r="C38" s="764" t="s">
        <v>1038</v>
      </c>
      <c r="D38" s="727"/>
      <c r="E38" s="727"/>
      <c r="F38" s="1151"/>
      <c r="G38" s="1118"/>
      <c r="H38" s="727"/>
      <c r="I38" s="1126"/>
      <c r="J38" s="1118"/>
      <c r="K38" s="727"/>
      <c r="L38" s="1151"/>
      <c r="M38" s="1118"/>
      <c r="N38" s="727"/>
      <c r="O38" s="1126"/>
      <c r="P38" s="1118">
        <f>55738+2334-250</f>
        <v>57822</v>
      </c>
      <c r="Q38" s="727"/>
      <c r="R38" s="1151"/>
      <c r="S38" s="1118"/>
      <c r="T38" s="727"/>
      <c r="U38" s="1126"/>
      <c r="V38" s="1118"/>
      <c r="W38" s="727"/>
      <c r="X38" s="1151"/>
      <c r="Y38" s="1118"/>
      <c r="Z38" s="727"/>
      <c r="AA38" s="1126"/>
      <c r="AB38" s="1118"/>
      <c r="AC38" s="1126"/>
      <c r="AD38" s="1118"/>
      <c r="AE38" s="1126"/>
      <c r="AF38" s="1118"/>
      <c r="AG38" s="1126"/>
      <c r="AH38" s="1138">
        <f t="shared" si="3"/>
        <v>57822</v>
      </c>
      <c r="AI38" s="1111"/>
      <c r="AJ38" s="1144"/>
      <c r="AK38" s="244"/>
      <c r="AL38" s="244"/>
    </row>
    <row r="39" spans="1:38" s="243" customFormat="1" ht="24" customHeight="1" x14ac:dyDescent="0.2">
      <c r="A39" s="595"/>
      <c r="B39" s="1098">
        <f t="shared" si="0"/>
        <v>30</v>
      </c>
      <c r="C39" s="1099" t="s">
        <v>1159</v>
      </c>
      <c r="D39" s="1112"/>
      <c r="E39" s="1112"/>
      <c r="F39" s="1153"/>
      <c r="G39" s="1120"/>
      <c r="H39" s="1112"/>
      <c r="I39" s="1128"/>
      <c r="J39" s="1120"/>
      <c r="K39" s="1112"/>
      <c r="L39" s="1153"/>
      <c r="M39" s="1120"/>
      <c r="N39" s="1112"/>
      <c r="O39" s="1128"/>
      <c r="P39" s="1120">
        <v>5000</v>
      </c>
      <c r="Q39" s="1112"/>
      <c r="R39" s="1153"/>
      <c r="S39" s="1120"/>
      <c r="T39" s="1112"/>
      <c r="U39" s="1128"/>
      <c r="V39" s="1120"/>
      <c r="W39" s="1112"/>
      <c r="X39" s="1153"/>
      <c r="Y39" s="1120"/>
      <c r="Z39" s="1112"/>
      <c r="AA39" s="1128"/>
      <c r="AB39" s="1120"/>
      <c r="AC39" s="1128"/>
      <c r="AD39" s="1120"/>
      <c r="AE39" s="1128"/>
      <c r="AF39" s="1120"/>
      <c r="AG39" s="1128"/>
      <c r="AH39" s="1140">
        <f t="shared" si="3"/>
        <v>5000</v>
      </c>
      <c r="AI39" s="1111"/>
      <c r="AJ39" s="1144"/>
      <c r="AK39" s="244"/>
      <c r="AL39" s="244"/>
    </row>
    <row r="40" spans="1:38" s="243" customFormat="1" ht="24" customHeight="1" x14ac:dyDescent="0.2">
      <c r="A40" s="595"/>
      <c r="B40" s="1098">
        <f t="shared" si="0"/>
        <v>31</v>
      </c>
      <c r="C40" s="1113" t="s">
        <v>1160</v>
      </c>
      <c r="D40" s="1106"/>
      <c r="E40" s="1106"/>
      <c r="F40" s="1154"/>
      <c r="G40" s="1121"/>
      <c r="H40" s="1106"/>
      <c r="I40" s="1129"/>
      <c r="J40" s="1121"/>
      <c r="K40" s="1106"/>
      <c r="L40" s="1154"/>
      <c r="M40" s="1121"/>
      <c r="N40" s="1106"/>
      <c r="O40" s="1129"/>
      <c r="P40" s="1121">
        <v>63223</v>
      </c>
      <c r="Q40" s="1106"/>
      <c r="R40" s="1154"/>
      <c r="S40" s="1121"/>
      <c r="T40" s="1106"/>
      <c r="U40" s="1129"/>
      <c r="V40" s="1121"/>
      <c r="W40" s="1106"/>
      <c r="X40" s="1154"/>
      <c r="Y40" s="1121"/>
      <c r="Z40" s="1106"/>
      <c r="AA40" s="1129"/>
      <c r="AB40" s="1121"/>
      <c r="AC40" s="1129"/>
      <c r="AD40" s="1121"/>
      <c r="AE40" s="1129"/>
      <c r="AF40" s="1121"/>
      <c r="AG40" s="1129"/>
      <c r="AH40" s="1137">
        <f t="shared" si="3"/>
        <v>63223</v>
      </c>
      <c r="AI40" s="1111"/>
      <c r="AJ40" s="1144"/>
      <c r="AK40" s="244"/>
      <c r="AL40" s="244"/>
    </row>
    <row r="41" spans="1:38" s="243" customFormat="1" ht="15" customHeight="1" x14ac:dyDescent="0.2">
      <c r="A41" s="595"/>
      <c r="B41" s="1098">
        <f t="shared" si="0"/>
        <v>32</v>
      </c>
      <c r="C41" s="764" t="s">
        <v>1032</v>
      </c>
      <c r="D41" s="727"/>
      <c r="E41" s="727"/>
      <c r="F41" s="1151"/>
      <c r="G41" s="1118"/>
      <c r="H41" s="727"/>
      <c r="I41" s="1126"/>
      <c r="J41" s="1118"/>
      <c r="K41" s="727"/>
      <c r="L41" s="1151"/>
      <c r="M41" s="1118"/>
      <c r="N41" s="727"/>
      <c r="O41" s="1126"/>
      <c r="P41" s="1118"/>
      <c r="Q41" s="727"/>
      <c r="R41" s="1151"/>
      <c r="S41" s="1118">
        <v>14168</v>
      </c>
      <c r="T41" s="727"/>
      <c r="U41" s="1126"/>
      <c r="V41" s="1118"/>
      <c r="W41" s="727"/>
      <c r="X41" s="1151"/>
      <c r="Y41" s="1118"/>
      <c r="Z41" s="727"/>
      <c r="AA41" s="1126"/>
      <c r="AB41" s="1118"/>
      <c r="AC41" s="1126"/>
      <c r="AD41" s="1118"/>
      <c r="AE41" s="1126"/>
      <c r="AF41" s="1118"/>
      <c r="AG41" s="1126"/>
      <c r="AH41" s="1138">
        <f t="shared" si="1"/>
        <v>14168</v>
      </c>
      <c r="AI41" s="1111"/>
      <c r="AJ41" s="1144"/>
      <c r="AK41" s="244"/>
      <c r="AL41" s="244"/>
    </row>
    <row r="42" spans="1:38" s="243" customFormat="1" ht="17.25" customHeight="1" x14ac:dyDescent="0.2">
      <c r="A42" s="595"/>
      <c r="B42" s="1098">
        <f t="shared" si="0"/>
        <v>33</v>
      </c>
      <c r="C42" s="1113" t="s">
        <v>1039</v>
      </c>
      <c r="D42" s="727"/>
      <c r="E42" s="727"/>
      <c r="F42" s="1151"/>
      <c r="G42" s="1121">
        <f>1600+200</f>
        <v>1800</v>
      </c>
      <c r="H42" s="1106"/>
      <c r="I42" s="1129"/>
      <c r="J42" s="1121"/>
      <c r="K42" s="1106"/>
      <c r="L42" s="1154"/>
      <c r="M42" s="1121">
        <v>432</v>
      </c>
      <c r="N42" s="1106"/>
      <c r="O42" s="1129"/>
      <c r="P42" s="1121">
        <v>350</v>
      </c>
      <c r="Q42" s="1106"/>
      <c r="R42" s="1154"/>
      <c r="S42" s="1121"/>
      <c r="T42" s="1106"/>
      <c r="U42" s="1129"/>
      <c r="V42" s="1121"/>
      <c r="W42" s="1106"/>
      <c r="X42" s="1154"/>
      <c r="Y42" s="1121"/>
      <c r="Z42" s="1106"/>
      <c r="AA42" s="1129"/>
      <c r="AB42" s="1121"/>
      <c r="AC42" s="1129"/>
      <c r="AD42" s="1121"/>
      <c r="AE42" s="1129"/>
      <c r="AF42" s="1121"/>
      <c r="AG42" s="1129"/>
      <c r="AH42" s="1137">
        <f t="shared" ref="AH42:AH47" si="4">SUM(D42:AG42)</f>
        <v>2582</v>
      </c>
      <c r="AI42" s="1111"/>
      <c r="AJ42" s="1144"/>
      <c r="AK42" s="244"/>
      <c r="AL42" s="244"/>
    </row>
    <row r="43" spans="1:38" s="243" customFormat="1" ht="15" customHeight="1" x14ac:dyDescent="0.2">
      <c r="A43" s="595"/>
      <c r="B43" s="1098">
        <f t="shared" si="0"/>
        <v>34</v>
      </c>
      <c r="C43" s="764" t="s">
        <v>1028</v>
      </c>
      <c r="D43" s="727"/>
      <c r="E43" s="727"/>
      <c r="F43" s="1151"/>
      <c r="G43" s="1118">
        <v>10000</v>
      </c>
      <c r="H43" s="727"/>
      <c r="I43" s="1126"/>
      <c r="J43" s="1118"/>
      <c r="K43" s="727"/>
      <c r="L43" s="1151"/>
      <c r="M43" s="1118">
        <v>5000</v>
      </c>
      <c r="N43" s="727"/>
      <c r="O43" s="1126"/>
      <c r="P43" s="1118"/>
      <c r="Q43" s="727"/>
      <c r="R43" s="1151"/>
      <c r="S43" s="1118">
        <v>15216</v>
      </c>
      <c r="T43" s="727"/>
      <c r="U43" s="1126"/>
      <c r="V43" s="1118"/>
      <c r="W43" s="727"/>
      <c r="X43" s="1151"/>
      <c r="Y43" s="1118"/>
      <c r="Z43" s="727"/>
      <c r="AA43" s="1126"/>
      <c r="AB43" s="1118"/>
      <c r="AC43" s="1126"/>
      <c r="AD43" s="1118"/>
      <c r="AE43" s="1126"/>
      <c r="AF43" s="1118"/>
      <c r="AG43" s="1126"/>
      <c r="AH43" s="1138">
        <f t="shared" si="4"/>
        <v>30216</v>
      </c>
      <c r="AI43" s="1111"/>
      <c r="AJ43" s="1144"/>
      <c r="AK43" s="244"/>
      <c r="AL43" s="244"/>
    </row>
    <row r="44" spans="1:38" s="243" customFormat="1" ht="15" customHeight="1" x14ac:dyDescent="0.2">
      <c r="A44" s="595"/>
      <c r="B44" s="1098">
        <f t="shared" si="0"/>
        <v>35</v>
      </c>
      <c r="C44" s="764" t="s">
        <v>1029</v>
      </c>
      <c r="D44" s="727"/>
      <c r="E44" s="727"/>
      <c r="F44" s="1151"/>
      <c r="G44" s="1118"/>
      <c r="H44" s="727"/>
      <c r="I44" s="1126"/>
      <c r="J44" s="1118"/>
      <c r="K44" s="727"/>
      <c r="L44" s="1151"/>
      <c r="M44" s="1118"/>
      <c r="N44" s="727"/>
      <c r="O44" s="1126"/>
      <c r="P44" s="1118"/>
      <c r="Q44" s="727"/>
      <c r="R44" s="1151"/>
      <c r="S44" s="1118">
        <v>3000</v>
      </c>
      <c r="T44" s="727"/>
      <c r="U44" s="1126"/>
      <c r="V44" s="1118"/>
      <c r="W44" s="727"/>
      <c r="X44" s="1151"/>
      <c r="Y44" s="1118"/>
      <c r="Z44" s="727"/>
      <c r="AA44" s="1126"/>
      <c r="AB44" s="1118"/>
      <c r="AC44" s="1126"/>
      <c r="AD44" s="1118"/>
      <c r="AE44" s="1126"/>
      <c r="AF44" s="1118"/>
      <c r="AG44" s="1126"/>
      <c r="AH44" s="1138">
        <f t="shared" si="4"/>
        <v>3000</v>
      </c>
      <c r="AI44" s="1111"/>
      <c r="AJ44" s="1144"/>
      <c r="AK44" s="244"/>
      <c r="AL44" s="244"/>
    </row>
    <row r="45" spans="1:38" s="243" customFormat="1" ht="15" customHeight="1" x14ac:dyDescent="0.2">
      <c r="A45" s="595"/>
      <c r="B45" s="1098">
        <f t="shared" si="0"/>
        <v>36</v>
      </c>
      <c r="C45" s="764" t="s">
        <v>1151</v>
      </c>
      <c r="D45" s="727"/>
      <c r="E45" s="727"/>
      <c r="F45" s="1151"/>
      <c r="G45" s="1118"/>
      <c r="H45" s="727"/>
      <c r="I45" s="1126"/>
      <c r="J45" s="1118"/>
      <c r="K45" s="727"/>
      <c r="L45" s="1151"/>
      <c r="M45" s="1118"/>
      <c r="N45" s="727"/>
      <c r="O45" s="1126"/>
      <c r="P45" s="1118">
        <v>140</v>
      </c>
      <c r="Q45" s="727"/>
      <c r="R45" s="1151"/>
      <c r="S45" s="1118">
        <v>62658</v>
      </c>
      <c r="T45" s="727"/>
      <c r="U45" s="1126"/>
      <c r="V45" s="1118"/>
      <c r="W45" s="727"/>
      <c r="X45" s="1151"/>
      <c r="Y45" s="1118"/>
      <c r="Z45" s="727"/>
      <c r="AA45" s="1126"/>
      <c r="AB45" s="1118"/>
      <c r="AC45" s="1126"/>
      <c r="AD45" s="1118"/>
      <c r="AE45" s="1126"/>
      <c r="AF45" s="1118"/>
      <c r="AG45" s="1126"/>
      <c r="AH45" s="1138">
        <f t="shared" si="4"/>
        <v>62798</v>
      </c>
      <c r="AI45" s="1111"/>
      <c r="AJ45" s="1144"/>
      <c r="AK45" s="244"/>
      <c r="AL45" s="244"/>
    </row>
    <row r="46" spans="1:38" s="243" customFormat="1" ht="25.5" customHeight="1" x14ac:dyDescent="0.2">
      <c r="A46" s="595"/>
      <c r="B46" s="1098">
        <f t="shared" si="0"/>
        <v>37</v>
      </c>
      <c r="C46" s="1113" t="s">
        <v>1152</v>
      </c>
      <c r="D46" s="1106"/>
      <c r="E46" s="1106"/>
      <c r="F46" s="1154"/>
      <c r="G46" s="1121"/>
      <c r="H46" s="1106"/>
      <c r="I46" s="1129"/>
      <c r="J46" s="1121"/>
      <c r="K46" s="1106"/>
      <c r="L46" s="1154"/>
      <c r="M46" s="1121"/>
      <c r="N46" s="1106"/>
      <c r="O46" s="1129"/>
      <c r="P46" s="1121">
        <v>10500</v>
      </c>
      <c r="Q46" s="1106"/>
      <c r="R46" s="1154"/>
      <c r="S46" s="1121"/>
      <c r="T46" s="1106"/>
      <c r="U46" s="1129"/>
      <c r="V46" s="1121"/>
      <c r="W46" s="1106"/>
      <c r="X46" s="1154"/>
      <c r="Y46" s="1121"/>
      <c r="Z46" s="1106"/>
      <c r="AA46" s="1129"/>
      <c r="AB46" s="1121"/>
      <c r="AC46" s="1129"/>
      <c r="AD46" s="1121"/>
      <c r="AE46" s="1129"/>
      <c r="AF46" s="1121"/>
      <c r="AG46" s="1129"/>
      <c r="AH46" s="1137">
        <f t="shared" si="4"/>
        <v>10500</v>
      </c>
      <c r="AI46" s="1111"/>
      <c r="AJ46" s="1144"/>
      <c r="AK46" s="244"/>
      <c r="AL46" s="244"/>
    </row>
    <row r="47" spans="1:38" s="243" customFormat="1" ht="15" customHeight="1" x14ac:dyDescent="0.2">
      <c r="A47" s="595"/>
      <c r="B47" s="1098">
        <f t="shared" si="0"/>
        <v>38</v>
      </c>
      <c r="C47" s="1099" t="s">
        <v>1035</v>
      </c>
      <c r="D47" s="1105">
        <v>11296</v>
      </c>
      <c r="E47" s="1105"/>
      <c r="F47" s="1150"/>
      <c r="G47" s="1122">
        <v>1445</v>
      </c>
      <c r="H47" s="1105"/>
      <c r="I47" s="1130"/>
      <c r="J47" s="1122">
        <v>2925</v>
      </c>
      <c r="K47" s="1105"/>
      <c r="L47" s="1150"/>
      <c r="M47" s="1118">
        <v>310</v>
      </c>
      <c r="N47" s="727"/>
      <c r="O47" s="1126"/>
      <c r="P47" s="1122">
        <f>15897+548</f>
        <v>16445</v>
      </c>
      <c r="Q47" s="1105"/>
      <c r="R47" s="1150"/>
      <c r="S47" s="1122"/>
      <c r="T47" s="1105"/>
      <c r="U47" s="1130"/>
      <c r="V47" s="1122"/>
      <c r="W47" s="1105"/>
      <c r="X47" s="1150"/>
      <c r="Y47" s="1117"/>
      <c r="Z47" s="1104"/>
      <c r="AA47" s="1125"/>
      <c r="AB47" s="1117"/>
      <c r="AC47" s="1125"/>
      <c r="AD47" s="1117"/>
      <c r="AE47" s="1125"/>
      <c r="AF47" s="1117"/>
      <c r="AG47" s="1125"/>
      <c r="AH47" s="1138">
        <f t="shared" si="4"/>
        <v>32421</v>
      </c>
      <c r="AI47" s="1111"/>
      <c r="AJ47" s="1144"/>
      <c r="AK47" s="244"/>
      <c r="AL47" s="244"/>
    </row>
    <row r="48" spans="1:38" s="243" customFormat="1" ht="15" customHeight="1" x14ac:dyDescent="0.2">
      <c r="A48" s="595"/>
      <c r="B48" s="1098">
        <f t="shared" si="0"/>
        <v>39</v>
      </c>
      <c r="C48" s="764" t="s">
        <v>1030</v>
      </c>
      <c r="D48" s="727"/>
      <c r="E48" s="727"/>
      <c r="F48" s="1151"/>
      <c r="G48" s="1118">
        <v>16270</v>
      </c>
      <c r="H48" s="727"/>
      <c r="I48" s="1126"/>
      <c r="J48" s="1118"/>
      <c r="K48" s="727"/>
      <c r="L48" s="1151"/>
      <c r="M48" s="1118">
        <v>6731</v>
      </c>
      <c r="N48" s="727"/>
      <c r="O48" s="1126"/>
      <c r="P48" s="1118"/>
      <c r="Q48" s="727"/>
      <c r="R48" s="1151"/>
      <c r="S48" s="1118">
        <v>3601</v>
      </c>
      <c r="T48" s="727"/>
      <c r="U48" s="1126"/>
      <c r="V48" s="1118"/>
      <c r="W48" s="727"/>
      <c r="X48" s="1151"/>
      <c r="Y48" s="1118"/>
      <c r="Z48" s="727"/>
      <c r="AA48" s="1126"/>
      <c r="AB48" s="1118"/>
      <c r="AC48" s="1126"/>
      <c r="AD48" s="1118"/>
      <c r="AE48" s="1126"/>
      <c r="AF48" s="1118"/>
      <c r="AG48" s="1126"/>
      <c r="AH48" s="1138">
        <f t="shared" si="1"/>
        <v>26602</v>
      </c>
      <c r="AI48" s="1111"/>
      <c r="AJ48" s="1144"/>
      <c r="AK48" s="244"/>
      <c r="AL48" s="244"/>
    </row>
    <row r="49" spans="1:38" s="243" customFormat="1" ht="15" customHeight="1" x14ac:dyDescent="0.2">
      <c r="A49" s="595"/>
      <c r="B49" s="1098">
        <f t="shared" si="0"/>
        <v>40</v>
      </c>
      <c r="C49" s="764" t="s">
        <v>1123</v>
      </c>
      <c r="D49" s="1114"/>
      <c r="E49" s="1114"/>
      <c r="F49" s="1159"/>
      <c r="G49" s="1118">
        <v>1807</v>
      </c>
      <c r="H49" s="727"/>
      <c r="I49" s="1126"/>
      <c r="J49" s="1118"/>
      <c r="K49" s="727"/>
      <c r="L49" s="1151"/>
      <c r="M49" s="1118">
        <v>398</v>
      </c>
      <c r="N49" s="727"/>
      <c r="O49" s="1126"/>
      <c r="P49" s="1118"/>
      <c r="Q49" s="727"/>
      <c r="R49" s="1151"/>
      <c r="S49" s="1118">
        <v>13167</v>
      </c>
      <c r="T49" s="727"/>
      <c r="U49" s="1126"/>
      <c r="V49" s="1132"/>
      <c r="W49" s="1115"/>
      <c r="X49" s="1156"/>
      <c r="Y49" s="1132"/>
      <c r="Z49" s="1115"/>
      <c r="AA49" s="1134"/>
      <c r="AB49" s="1132"/>
      <c r="AC49" s="1134"/>
      <c r="AD49" s="1132"/>
      <c r="AE49" s="1134"/>
      <c r="AF49" s="1132"/>
      <c r="AG49" s="1134"/>
      <c r="AH49" s="1138">
        <f>SUM(D49:AG49)</f>
        <v>15372</v>
      </c>
      <c r="AI49" s="1111"/>
      <c r="AJ49" s="1144"/>
      <c r="AK49" s="244"/>
      <c r="AL49" s="244"/>
    </row>
    <row r="50" spans="1:38" s="243" customFormat="1" ht="15" customHeight="1" x14ac:dyDescent="0.2">
      <c r="A50" s="595"/>
      <c r="B50" s="1098">
        <f t="shared" si="0"/>
        <v>41</v>
      </c>
      <c r="C50" s="764" t="s">
        <v>1021</v>
      </c>
      <c r="D50" s="727"/>
      <c r="E50" s="727"/>
      <c r="F50" s="1151"/>
      <c r="G50" s="1118"/>
      <c r="H50" s="727"/>
      <c r="I50" s="1126"/>
      <c r="J50" s="1118"/>
      <c r="K50" s="727"/>
      <c r="L50" s="1151"/>
      <c r="M50" s="1118"/>
      <c r="N50" s="727"/>
      <c r="O50" s="1126"/>
      <c r="P50" s="1118"/>
      <c r="Q50" s="727"/>
      <c r="R50" s="1151"/>
      <c r="S50" s="1118"/>
      <c r="T50" s="727"/>
      <c r="U50" s="1126"/>
      <c r="V50" s="1118">
        <f>mc.pe.átad!D23</f>
        <v>5750</v>
      </c>
      <c r="W50" s="727"/>
      <c r="X50" s="1151"/>
      <c r="Y50" s="1118">
        <f>mc.pe.átad!E23</f>
        <v>64147</v>
      </c>
      <c r="Z50" s="727"/>
      <c r="AA50" s="1126"/>
      <c r="AB50" s="1118">
        <f>mc.pe.átad!D59</f>
        <v>151335</v>
      </c>
      <c r="AC50" s="1126">
        <f>mc.pe.átad!E59</f>
        <v>170783</v>
      </c>
      <c r="AD50" s="1118"/>
      <c r="AE50" s="1126"/>
      <c r="AF50" s="1118"/>
      <c r="AG50" s="1126"/>
      <c r="AH50" s="1138">
        <f t="shared" si="1"/>
        <v>392015</v>
      </c>
      <c r="AI50" s="1092"/>
      <c r="AJ50" s="1144"/>
      <c r="AK50" s="244"/>
      <c r="AL50" s="244"/>
    </row>
    <row r="51" spans="1:38" s="243" customFormat="1" ht="15" customHeight="1" x14ac:dyDescent="0.2">
      <c r="A51" s="595"/>
      <c r="B51" s="1098">
        <f t="shared" si="0"/>
        <v>42</v>
      </c>
      <c r="C51" s="764" t="s">
        <v>1020</v>
      </c>
      <c r="D51" s="727"/>
      <c r="E51" s="727"/>
      <c r="F51" s="1151"/>
      <c r="G51" s="1118"/>
      <c r="H51" s="727"/>
      <c r="I51" s="1126"/>
      <c r="J51" s="1118"/>
      <c r="K51" s="727"/>
      <c r="L51" s="1151"/>
      <c r="M51" s="1118"/>
      <c r="N51" s="727"/>
      <c r="O51" s="1126"/>
      <c r="P51" s="1118">
        <v>3675</v>
      </c>
      <c r="Q51" s="727"/>
      <c r="R51" s="1151"/>
      <c r="S51" s="1118"/>
      <c r="T51" s="727"/>
      <c r="U51" s="1126"/>
      <c r="V51" s="1118"/>
      <c r="W51" s="727"/>
      <c r="X51" s="1151"/>
      <c r="Y51" s="1118"/>
      <c r="Z51" s="727"/>
      <c r="AA51" s="1126"/>
      <c r="AB51" s="1118"/>
      <c r="AC51" s="1126"/>
      <c r="AD51" s="1118"/>
      <c r="AE51" s="1126"/>
      <c r="AF51" s="1118"/>
      <c r="AG51" s="1126"/>
      <c r="AH51" s="1138">
        <f t="shared" si="1"/>
        <v>3675</v>
      </c>
      <c r="AI51" s="726"/>
      <c r="AJ51" s="1144"/>
      <c r="AK51" s="244"/>
      <c r="AL51" s="244"/>
    </row>
    <row r="52" spans="1:38" s="243" customFormat="1" ht="15" customHeight="1" x14ac:dyDescent="0.2">
      <c r="A52" s="595"/>
      <c r="B52" s="1098">
        <f t="shared" si="0"/>
        <v>43</v>
      </c>
      <c r="C52" s="1116" t="s">
        <v>1043</v>
      </c>
      <c r="D52" s="1106"/>
      <c r="E52" s="1106"/>
      <c r="F52" s="1154"/>
      <c r="G52" s="1121"/>
      <c r="H52" s="1106"/>
      <c r="I52" s="1129"/>
      <c r="J52" s="1121"/>
      <c r="K52" s="1106"/>
      <c r="L52" s="1154"/>
      <c r="M52" s="1121"/>
      <c r="N52" s="1106"/>
      <c r="O52" s="1129"/>
      <c r="P52" s="1121"/>
      <c r="Q52" s="1106"/>
      <c r="R52" s="1154"/>
      <c r="S52" s="1121">
        <f>2515+1134</f>
        <v>3649</v>
      </c>
      <c r="T52" s="1106"/>
      <c r="U52" s="1129"/>
      <c r="V52" s="1121"/>
      <c r="W52" s="1106"/>
      <c r="X52" s="1154"/>
      <c r="Y52" s="1121"/>
      <c r="Z52" s="1106"/>
      <c r="AA52" s="1129"/>
      <c r="AB52" s="1121"/>
      <c r="AC52" s="1129"/>
      <c r="AD52" s="1121"/>
      <c r="AE52" s="1129"/>
      <c r="AF52" s="1121"/>
      <c r="AG52" s="1129"/>
      <c r="AH52" s="1137">
        <f t="shared" si="1"/>
        <v>3649</v>
      </c>
      <c r="AI52" s="726"/>
      <c r="AJ52" s="1144"/>
      <c r="AK52" s="244"/>
      <c r="AL52" s="244"/>
    </row>
    <row r="53" spans="1:38" s="243" customFormat="1" ht="15" customHeight="1" x14ac:dyDescent="0.2">
      <c r="A53" s="595"/>
      <c r="B53" s="1098">
        <f t="shared" si="0"/>
        <v>44</v>
      </c>
      <c r="C53" s="1116" t="s">
        <v>1044</v>
      </c>
      <c r="D53" s="1106"/>
      <c r="E53" s="1106"/>
      <c r="F53" s="1154"/>
      <c r="G53" s="1121"/>
      <c r="H53" s="1106"/>
      <c r="I53" s="1129"/>
      <c r="J53" s="1121"/>
      <c r="K53" s="1106"/>
      <c r="L53" s="1154"/>
      <c r="M53" s="1121"/>
      <c r="N53" s="1106"/>
      <c r="O53" s="1129"/>
      <c r="P53" s="1121"/>
      <c r="Q53" s="1106"/>
      <c r="R53" s="1154"/>
      <c r="S53" s="1121"/>
      <c r="T53" s="1106"/>
      <c r="U53" s="1129"/>
      <c r="V53" s="1121"/>
      <c r="W53" s="1106"/>
      <c r="X53" s="1154"/>
      <c r="Y53" s="1121"/>
      <c r="Z53" s="1106"/>
      <c r="AA53" s="1129"/>
      <c r="AB53" s="1121"/>
      <c r="AC53" s="1129"/>
      <c r="AD53" s="1121">
        <v>367</v>
      </c>
      <c r="AE53" s="1129"/>
      <c r="AF53" s="1121"/>
      <c r="AG53" s="1129"/>
      <c r="AH53" s="1137">
        <f t="shared" si="1"/>
        <v>367</v>
      </c>
      <c r="AI53" s="726"/>
      <c r="AJ53" s="1144"/>
      <c r="AK53" s="244"/>
      <c r="AL53" s="244"/>
    </row>
    <row r="54" spans="1:38" s="243" customFormat="1" ht="15" customHeight="1" x14ac:dyDescent="0.2">
      <c r="A54" s="595"/>
      <c r="B54" s="1098">
        <f t="shared" si="0"/>
        <v>45</v>
      </c>
      <c r="C54" s="1116" t="s">
        <v>1045</v>
      </c>
      <c r="D54" s="1106"/>
      <c r="E54" s="1106"/>
      <c r="F54" s="1154"/>
      <c r="G54" s="1121"/>
      <c r="H54" s="1106"/>
      <c r="I54" s="1129"/>
      <c r="J54" s="1121"/>
      <c r="K54" s="1106"/>
      <c r="L54" s="1154"/>
      <c r="M54" s="1121"/>
      <c r="N54" s="1106"/>
      <c r="O54" s="1129"/>
      <c r="P54" s="1121">
        <v>295</v>
      </c>
      <c r="Q54" s="1106"/>
      <c r="R54" s="1154"/>
      <c r="S54" s="1121"/>
      <c r="T54" s="1106"/>
      <c r="U54" s="1129"/>
      <c r="V54" s="1121"/>
      <c r="W54" s="1106"/>
      <c r="X54" s="1154"/>
      <c r="Y54" s="1121"/>
      <c r="Z54" s="1106"/>
      <c r="AA54" s="1129"/>
      <c r="AB54" s="1121"/>
      <c r="AC54" s="1129"/>
      <c r="AD54" s="1121"/>
      <c r="AE54" s="1129"/>
      <c r="AF54" s="1121"/>
      <c r="AG54" s="1129"/>
      <c r="AH54" s="1137">
        <f t="shared" si="1"/>
        <v>295</v>
      </c>
      <c r="AI54" s="726"/>
      <c r="AJ54" s="1144"/>
      <c r="AK54" s="244"/>
      <c r="AL54" s="244"/>
    </row>
    <row r="55" spans="1:38" s="243" customFormat="1" ht="15" customHeight="1" x14ac:dyDescent="0.2">
      <c r="A55" s="595"/>
      <c r="B55" s="1098">
        <f t="shared" si="0"/>
        <v>46</v>
      </c>
      <c r="C55" s="1116" t="s">
        <v>1046</v>
      </c>
      <c r="D55" s="1106"/>
      <c r="E55" s="1106"/>
      <c r="F55" s="1154"/>
      <c r="G55" s="1121">
        <f>301+64</f>
        <v>365</v>
      </c>
      <c r="H55" s="1106"/>
      <c r="I55" s="1129"/>
      <c r="J55" s="1121"/>
      <c r="K55" s="1106"/>
      <c r="L55" s="1154"/>
      <c r="M55" s="1121">
        <f>28+13</f>
        <v>41</v>
      </c>
      <c r="N55" s="1106"/>
      <c r="O55" s="1129"/>
      <c r="P55" s="1121"/>
      <c r="Q55" s="1106"/>
      <c r="R55" s="1154"/>
      <c r="S55" s="1121">
        <f>1782+3</f>
        <v>1785</v>
      </c>
      <c r="T55" s="1106"/>
      <c r="U55" s="1129"/>
      <c r="V55" s="1121"/>
      <c r="W55" s="1106"/>
      <c r="X55" s="1154"/>
      <c r="Y55" s="1121"/>
      <c r="Z55" s="1106"/>
      <c r="AA55" s="1129"/>
      <c r="AB55" s="1121"/>
      <c r="AC55" s="1129"/>
      <c r="AD55" s="1121"/>
      <c r="AE55" s="1129"/>
      <c r="AF55" s="1121"/>
      <c r="AG55" s="1129"/>
      <c r="AH55" s="1137">
        <f t="shared" si="1"/>
        <v>2191</v>
      </c>
      <c r="AI55" s="726"/>
      <c r="AJ55" s="1144"/>
      <c r="AK55" s="244"/>
      <c r="AL55" s="244"/>
    </row>
    <row r="56" spans="1:38" s="243" customFormat="1" ht="15" customHeight="1" x14ac:dyDescent="0.2">
      <c r="A56" s="595"/>
      <c r="B56" s="1098">
        <f t="shared" si="0"/>
        <v>47</v>
      </c>
      <c r="C56" s="1116" t="s">
        <v>1047</v>
      </c>
      <c r="D56" s="1106">
        <v>4766</v>
      </c>
      <c r="E56" s="1106"/>
      <c r="F56" s="1154"/>
      <c r="G56" s="1121"/>
      <c r="H56" s="1106"/>
      <c r="I56" s="1129"/>
      <c r="J56" s="1121">
        <v>1748</v>
      </c>
      <c r="K56" s="1106"/>
      <c r="L56" s="1154"/>
      <c r="M56" s="1121"/>
      <c r="N56" s="1106"/>
      <c r="O56" s="1129"/>
      <c r="P56" s="1121">
        <f>13917-1221</f>
        <v>12696</v>
      </c>
      <c r="Q56" s="1106"/>
      <c r="R56" s="1154"/>
      <c r="S56" s="1121"/>
      <c r="T56" s="1106"/>
      <c r="U56" s="1129"/>
      <c r="V56" s="1121"/>
      <c r="W56" s="1106"/>
      <c r="X56" s="1154"/>
      <c r="Y56" s="1121"/>
      <c r="Z56" s="1106"/>
      <c r="AA56" s="1129"/>
      <c r="AB56" s="1121"/>
      <c r="AC56" s="1129"/>
      <c r="AD56" s="1121"/>
      <c r="AE56" s="1129"/>
      <c r="AF56" s="1121"/>
      <c r="AG56" s="1129"/>
      <c r="AH56" s="1137">
        <f t="shared" si="1"/>
        <v>19210</v>
      </c>
      <c r="AI56" s="726"/>
      <c r="AJ56" s="1144"/>
      <c r="AK56" s="244"/>
      <c r="AL56" s="244"/>
    </row>
    <row r="57" spans="1:38" s="243" customFormat="1" ht="15" customHeight="1" x14ac:dyDescent="0.2">
      <c r="A57" s="595"/>
      <c r="B57" s="1098">
        <f t="shared" si="0"/>
        <v>48</v>
      </c>
      <c r="C57" s="1116" t="s">
        <v>1049</v>
      </c>
      <c r="D57" s="1106"/>
      <c r="E57" s="1106"/>
      <c r="F57" s="1154"/>
      <c r="G57" s="1121"/>
      <c r="H57" s="1106"/>
      <c r="I57" s="1129"/>
      <c r="J57" s="1121"/>
      <c r="K57" s="1106"/>
      <c r="L57" s="1154"/>
      <c r="M57" s="1121"/>
      <c r="N57" s="1106"/>
      <c r="O57" s="1129"/>
      <c r="P57" s="1121">
        <v>15347</v>
      </c>
      <c r="Q57" s="1106"/>
      <c r="R57" s="1154"/>
      <c r="S57" s="1121"/>
      <c r="T57" s="1106"/>
      <c r="U57" s="1129"/>
      <c r="V57" s="1121"/>
      <c r="W57" s="1106"/>
      <c r="X57" s="1154"/>
      <c r="Y57" s="1121"/>
      <c r="Z57" s="1106"/>
      <c r="AA57" s="1129"/>
      <c r="AB57" s="1121"/>
      <c r="AC57" s="1129"/>
      <c r="AD57" s="1121"/>
      <c r="AE57" s="1129"/>
      <c r="AF57" s="1121"/>
      <c r="AG57" s="1129"/>
      <c r="AH57" s="1137">
        <f t="shared" si="1"/>
        <v>15347</v>
      </c>
      <c r="AI57" s="726"/>
      <c r="AJ57" s="1144"/>
      <c r="AK57" s="244"/>
      <c r="AL57" s="244"/>
    </row>
    <row r="58" spans="1:38" s="243" customFormat="1" ht="15" customHeight="1" x14ac:dyDescent="0.2">
      <c r="A58" s="595"/>
      <c r="B58" s="1098">
        <f t="shared" si="0"/>
        <v>49</v>
      </c>
      <c r="C58" s="1116" t="s">
        <v>1050</v>
      </c>
      <c r="D58" s="1106">
        <v>10</v>
      </c>
      <c r="E58" s="1106"/>
      <c r="F58" s="1154"/>
      <c r="G58" s="1121"/>
      <c r="H58" s="1106"/>
      <c r="I58" s="1129"/>
      <c r="J58" s="1121"/>
      <c r="K58" s="1106"/>
      <c r="L58" s="1154"/>
      <c r="M58" s="1121"/>
      <c r="N58" s="1106"/>
      <c r="O58" s="1129"/>
      <c r="P58" s="1121">
        <v>15357</v>
      </c>
      <c r="Q58" s="1106"/>
      <c r="R58" s="1154"/>
      <c r="S58" s="1121"/>
      <c r="T58" s="1106"/>
      <c r="U58" s="1129"/>
      <c r="V58" s="1121"/>
      <c r="W58" s="1106"/>
      <c r="X58" s="1154"/>
      <c r="Y58" s="1121"/>
      <c r="Z58" s="1106"/>
      <c r="AA58" s="1129"/>
      <c r="AB58" s="1121"/>
      <c r="AC58" s="1129"/>
      <c r="AD58" s="1121"/>
      <c r="AE58" s="1129"/>
      <c r="AF58" s="1121"/>
      <c r="AG58" s="1129"/>
      <c r="AH58" s="1137">
        <f t="shared" si="1"/>
        <v>15367</v>
      </c>
      <c r="AI58" s="726"/>
      <c r="AJ58" s="1144"/>
      <c r="AK58" s="244"/>
      <c r="AL58" s="244"/>
    </row>
    <row r="59" spans="1:38" s="243" customFormat="1" ht="15" customHeight="1" x14ac:dyDescent="0.2">
      <c r="A59" s="595"/>
      <c r="B59" s="1098">
        <f t="shared" si="0"/>
        <v>50</v>
      </c>
      <c r="C59" s="1116" t="s">
        <v>1051</v>
      </c>
      <c r="D59" s="1106"/>
      <c r="E59" s="1106"/>
      <c r="F59" s="1154"/>
      <c r="G59" s="1121">
        <v>10728</v>
      </c>
      <c r="H59" s="1106"/>
      <c r="I59" s="1129"/>
      <c r="J59" s="1121"/>
      <c r="K59" s="1106"/>
      <c r="L59" s="1154"/>
      <c r="M59" s="1121">
        <v>2189</v>
      </c>
      <c r="N59" s="1106"/>
      <c r="O59" s="1129"/>
      <c r="P59" s="1121">
        <v>17522</v>
      </c>
      <c r="Q59" s="1106"/>
      <c r="R59" s="1154"/>
      <c r="S59" s="1121">
        <v>78887</v>
      </c>
      <c r="T59" s="1106"/>
      <c r="U59" s="1129"/>
      <c r="V59" s="1121"/>
      <c r="W59" s="1106"/>
      <c r="X59" s="1154"/>
      <c r="Y59" s="1121"/>
      <c r="Z59" s="1106"/>
      <c r="AA59" s="1129"/>
      <c r="AB59" s="1121"/>
      <c r="AC59" s="1129"/>
      <c r="AD59" s="1121">
        <v>84</v>
      </c>
      <c r="AE59" s="1129"/>
      <c r="AF59" s="1121"/>
      <c r="AG59" s="1129"/>
      <c r="AH59" s="1137">
        <f t="shared" si="1"/>
        <v>109410</v>
      </c>
      <c r="AI59" s="726"/>
      <c r="AJ59" s="1144"/>
      <c r="AK59" s="244"/>
      <c r="AL59" s="244"/>
    </row>
    <row r="60" spans="1:38" s="243" customFormat="1" ht="21.75" customHeight="1" x14ac:dyDescent="0.2">
      <c r="A60" s="595"/>
      <c r="B60" s="1098">
        <f t="shared" si="0"/>
        <v>51</v>
      </c>
      <c r="C60" s="1116" t="s">
        <v>1238</v>
      </c>
      <c r="D60" s="1106"/>
      <c r="E60" s="1106"/>
      <c r="F60" s="1154"/>
      <c r="G60" s="1121"/>
      <c r="H60" s="1106"/>
      <c r="I60" s="1129"/>
      <c r="J60" s="1121"/>
      <c r="K60" s="1106"/>
      <c r="L60" s="1154"/>
      <c r="M60" s="1121"/>
      <c r="N60" s="1106"/>
      <c r="O60" s="1129"/>
      <c r="P60" s="1121">
        <v>294</v>
      </c>
      <c r="Q60" s="1106"/>
      <c r="R60" s="1154"/>
      <c r="S60" s="1121"/>
      <c r="T60" s="1106"/>
      <c r="U60" s="1129"/>
      <c r="V60" s="1121"/>
      <c r="W60" s="1106"/>
      <c r="X60" s="1154"/>
      <c r="Y60" s="1121"/>
      <c r="Z60" s="1106"/>
      <c r="AA60" s="1129"/>
      <c r="AB60" s="1121"/>
      <c r="AC60" s="1129"/>
      <c r="AD60" s="1121"/>
      <c r="AE60" s="1129"/>
      <c r="AF60" s="1121"/>
      <c r="AG60" s="1129"/>
      <c r="AH60" s="1137">
        <f t="shared" si="1"/>
        <v>294</v>
      </c>
      <c r="AI60" s="726"/>
      <c r="AJ60" s="1144"/>
      <c r="AK60" s="244"/>
      <c r="AL60" s="244"/>
    </row>
    <row r="61" spans="1:38" s="243" customFormat="1" ht="15" customHeight="1" x14ac:dyDescent="0.2">
      <c r="A61" s="595"/>
      <c r="B61" s="1098">
        <f t="shared" si="0"/>
        <v>52</v>
      </c>
      <c r="C61" s="1116" t="s">
        <v>1239</v>
      </c>
      <c r="D61" s="1106"/>
      <c r="E61" s="1106"/>
      <c r="F61" s="1154"/>
      <c r="G61" s="1121"/>
      <c r="H61" s="1106"/>
      <c r="I61" s="1129"/>
      <c r="J61" s="1121"/>
      <c r="K61" s="1106"/>
      <c r="L61" s="1154"/>
      <c r="M61" s="1121"/>
      <c r="N61" s="1106"/>
      <c r="O61" s="1129"/>
      <c r="P61" s="1121"/>
      <c r="Q61" s="1106"/>
      <c r="R61" s="1154"/>
      <c r="S61" s="1121">
        <v>2</v>
      </c>
      <c r="T61" s="1106"/>
      <c r="U61" s="1129"/>
      <c r="V61" s="1121"/>
      <c r="W61" s="1106"/>
      <c r="X61" s="1154"/>
      <c r="Y61" s="1121"/>
      <c r="Z61" s="1106"/>
      <c r="AA61" s="1129"/>
      <c r="AB61" s="1121"/>
      <c r="AC61" s="1129"/>
      <c r="AD61" s="1121"/>
      <c r="AE61" s="1129"/>
      <c r="AF61" s="1121"/>
      <c r="AG61" s="1129"/>
      <c r="AH61" s="1137">
        <f t="shared" si="1"/>
        <v>2</v>
      </c>
      <c r="AI61" s="726"/>
      <c r="AJ61" s="1144"/>
      <c r="AK61" s="244"/>
      <c r="AL61" s="244"/>
    </row>
    <row r="62" spans="1:38" s="243" customFormat="1" ht="15" customHeight="1" x14ac:dyDescent="0.2">
      <c r="A62" s="595"/>
      <c r="B62" s="1165">
        <f t="shared" si="0"/>
        <v>53</v>
      </c>
      <c r="C62" s="1166" t="s">
        <v>1240</v>
      </c>
      <c r="D62" s="1167"/>
      <c r="E62" s="1167"/>
      <c r="F62" s="1168"/>
      <c r="G62" s="1169"/>
      <c r="H62" s="1167"/>
      <c r="I62" s="1170"/>
      <c r="J62" s="1169"/>
      <c r="K62" s="1167"/>
      <c r="L62" s="1168"/>
      <c r="M62" s="1169"/>
      <c r="N62" s="1167"/>
      <c r="O62" s="1170"/>
      <c r="P62" s="1169"/>
      <c r="Q62" s="1167"/>
      <c r="R62" s="1168"/>
      <c r="S62" s="1169">
        <v>2450</v>
      </c>
      <c r="T62" s="1167"/>
      <c r="U62" s="1170"/>
      <c r="V62" s="1169"/>
      <c r="W62" s="1167"/>
      <c r="X62" s="1168"/>
      <c r="Y62" s="1169"/>
      <c r="Z62" s="1167"/>
      <c r="AA62" s="1170"/>
      <c r="AB62" s="1169"/>
      <c r="AC62" s="1170"/>
      <c r="AD62" s="1169"/>
      <c r="AE62" s="1170"/>
      <c r="AF62" s="1169"/>
      <c r="AG62" s="1170"/>
      <c r="AH62" s="1171">
        <f t="shared" si="1"/>
        <v>2450</v>
      </c>
      <c r="AI62" s="1172"/>
      <c r="AJ62" s="1173"/>
      <c r="AK62" s="244"/>
      <c r="AL62" s="244"/>
    </row>
    <row r="63" spans="1:38" s="243" customFormat="1" ht="15" customHeight="1" x14ac:dyDescent="0.2">
      <c r="A63" s="1176"/>
      <c r="B63" s="1098"/>
      <c r="C63" s="1116"/>
      <c r="D63" s="1106"/>
      <c r="E63" s="1106"/>
      <c r="F63" s="1154"/>
      <c r="G63" s="1121"/>
      <c r="H63" s="1106"/>
      <c r="I63" s="1129"/>
      <c r="J63" s="1121"/>
      <c r="K63" s="1106"/>
      <c r="L63" s="1154"/>
      <c r="M63" s="1121"/>
      <c r="N63" s="1106"/>
      <c r="O63" s="1129"/>
      <c r="P63" s="1121"/>
      <c r="Q63" s="1106"/>
      <c r="R63" s="1154"/>
      <c r="S63" s="1121"/>
      <c r="T63" s="1106"/>
      <c r="U63" s="1129"/>
      <c r="V63" s="1121"/>
      <c r="W63" s="1106"/>
      <c r="X63" s="1154"/>
      <c r="Y63" s="1121"/>
      <c r="Z63" s="1106"/>
      <c r="AA63" s="1129"/>
      <c r="AB63" s="1121"/>
      <c r="AC63" s="1129"/>
      <c r="AD63" s="1121"/>
      <c r="AE63" s="1129"/>
      <c r="AF63" s="1121"/>
      <c r="AG63" s="1129"/>
      <c r="AH63" s="1137"/>
      <c r="AI63" s="726"/>
      <c r="AJ63" s="1144"/>
      <c r="AK63" s="244"/>
      <c r="AL63" s="244"/>
    </row>
    <row r="64" spans="1:38" s="243" customFormat="1" ht="15" customHeight="1" x14ac:dyDescent="0.2">
      <c r="A64" s="1176"/>
      <c r="B64" s="1098"/>
      <c r="C64" s="1116"/>
      <c r="D64" s="1106"/>
      <c r="E64" s="1106"/>
      <c r="F64" s="1154"/>
      <c r="G64" s="1121"/>
      <c r="H64" s="1106"/>
      <c r="I64" s="1129"/>
      <c r="J64" s="1121"/>
      <c r="K64" s="1106"/>
      <c r="L64" s="1154"/>
      <c r="M64" s="1121"/>
      <c r="N64" s="1106"/>
      <c r="O64" s="1129"/>
      <c r="P64" s="1121"/>
      <c r="Q64" s="1106"/>
      <c r="R64" s="1154"/>
      <c r="S64" s="1121"/>
      <c r="T64" s="1106"/>
      <c r="U64" s="1129"/>
      <c r="V64" s="1121"/>
      <c r="W64" s="1106"/>
      <c r="X64" s="1154"/>
      <c r="Y64" s="1121"/>
      <c r="Z64" s="1106"/>
      <c r="AA64" s="1129"/>
      <c r="AB64" s="1121"/>
      <c r="AC64" s="1129"/>
      <c r="AD64" s="1121"/>
      <c r="AE64" s="1129"/>
      <c r="AF64" s="1121"/>
      <c r="AG64" s="1129"/>
      <c r="AH64" s="1137"/>
      <c r="AI64" s="726"/>
      <c r="AJ64" s="1144"/>
      <c r="AK64" s="244"/>
      <c r="AL64" s="244"/>
    </row>
    <row r="65" spans="1:38" s="243" customFormat="1" ht="15" customHeight="1" x14ac:dyDescent="0.2">
      <c r="A65" s="1176"/>
      <c r="B65" s="1098"/>
      <c r="C65" s="1116"/>
      <c r="D65" s="1106"/>
      <c r="E65" s="1106"/>
      <c r="F65" s="1154"/>
      <c r="G65" s="1121"/>
      <c r="H65" s="1106"/>
      <c r="I65" s="1129"/>
      <c r="J65" s="1121"/>
      <c r="K65" s="1106"/>
      <c r="L65" s="1154"/>
      <c r="M65" s="1121"/>
      <c r="N65" s="1106"/>
      <c r="O65" s="1129"/>
      <c r="P65" s="1121"/>
      <c r="Q65" s="1106"/>
      <c r="R65" s="1154"/>
      <c r="S65" s="1121"/>
      <c r="T65" s="1106"/>
      <c r="U65" s="1129"/>
      <c r="V65" s="1121"/>
      <c r="W65" s="1106"/>
      <c r="X65" s="1154"/>
      <c r="Y65" s="1121"/>
      <c r="Z65" s="1106"/>
      <c r="AA65" s="1129"/>
      <c r="AB65" s="1121"/>
      <c r="AC65" s="1129"/>
      <c r="AD65" s="1121"/>
      <c r="AE65" s="1129"/>
      <c r="AF65" s="1121"/>
      <c r="AG65" s="1129"/>
      <c r="AH65" s="1137"/>
      <c r="AI65" s="726"/>
      <c r="AJ65" s="1144"/>
      <c r="AK65" s="244"/>
      <c r="AL65" s="244"/>
    </row>
    <row r="66" spans="1:38" s="243" customFormat="1" ht="15" customHeight="1" thickBot="1" x14ac:dyDescent="0.25">
      <c r="A66" s="1176"/>
      <c r="B66" s="1165"/>
      <c r="C66" s="1166"/>
      <c r="D66" s="1167"/>
      <c r="E66" s="1167"/>
      <c r="F66" s="1168"/>
      <c r="G66" s="1169"/>
      <c r="H66" s="1167"/>
      <c r="I66" s="1170"/>
      <c r="J66" s="1169"/>
      <c r="K66" s="1167"/>
      <c r="L66" s="1168"/>
      <c r="M66" s="1169"/>
      <c r="N66" s="1167"/>
      <c r="O66" s="1170"/>
      <c r="P66" s="1169"/>
      <c r="Q66" s="1167"/>
      <c r="R66" s="1168"/>
      <c r="S66" s="1169"/>
      <c r="T66" s="1167"/>
      <c r="U66" s="1170"/>
      <c r="V66" s="1169"/>
      <c r="W66" s="1167"/>
      <c r="X66" s="1168"/>
      <c r="Y66" s="1169"/>
      <c r="Z66" s="1167"/>
      <c r="AA66" s="1178"/>
      <c r="AB66" s="1179"/>
      <c r="AC66" s="1170"/>
      <c r="AD66" s="1169"/>
      <c r="AE66" s="1170"/>
      <c r="AF66" s="1169"/>
      <c r="AG66" s="1170"/>
      <c r="AH66" s="1171"/>
      <c r="AI66" s="1172"/>
      <c r="AJ66" s="1173"/>
      <c r="AK66" s="244"/>
      <c r="AL66" s="244"/>
    </row>
    <row r="67" spans="1:38" ht="15.6" customHeight="1" thickBot="1" x14ac:dyDescent="0.25">
      <c r="B67" s="1379" t="s">
        <v>618</v>
      </c>
      <c r="C67" s="1380"/>
      <c r="D67" s="221">
        <f>SUM(D10:D62)</f>
        <v>62878</v>
      </c>
      <c r="E67" s="221"/>
      <c r="F67" s="1174"/>
      <c r="G67" s="361">
        <f t="shared" ref="G67:AH67" si="5">SUM(G10:G62)</f>
        <v>45615</v>
      </c>
      <c r="H67" s="221"/>
      <c r="I67" s="234"/>
      <c r="J67" s="361">
        <f t="shared" si="5"/>
        <v>18594</v>
      </c>
      <c r="K67" s="221"/>
      <c r="L67" s="1174"/>
      <c r="M67" s="361">
        <f t="shared" si="5"/>
        <v>15901</v>
      </c>
      <c r="N67" s="221"/>
      <c r="O67" s="234"/>
      <c r="P67" s="361">
        <f t="shared" si="5"/>
        <v>280679</v>
      </c>
      <c r="Q67" s="221"/>
      <c r="R67" s="1174"/>
      <c r="S67" s="361">
        <f t="shared" si="5"/>
        <v>239455</v>
      </c>
      <c r="T67" s="221"/>
      <c r="U67" s="234"/>
      <c r="V67" s="361">
        <f t="shared" si="5"/>
        <v>5750</v>
      </c>
      <c r="W67" s="221"/>
      <c r="X67" s="1174"/>
      <c r="Y67" s="1175">
        <f t="shared" si="5"/>
        <v>64147</v>
      </c>
      <c r="Z67" s="361"/>
      <c r="AA67" s="234"/>
      <c r="AB67" s="361">
        <f t="shared" si="5"/>
        <v>151335</v>
      </c>
      <c r="AC67" s="234">
        <f t="shared" si="5"/>
        <v>170783</v>
      </c>
      <c r="AD67" s="361">
        <f t="shared" si="5"/>
        <v>451</v>
      </c>
      <c r="AE67" s="234">
        <f t="shared" si="5"/>
        <v>0</v>
      </c>
      <c r="AF67" s="361">
        <f t="shared" si="5"/>
        <v>2800</v>
      </c>
      <c r="AG67" s="234">
        <f t="shared" si="5"/>
        <v>10950</v>
      </c>
      <c r="AH67" s="361">
        <f t="shared" si="5"/>
        <v>1069338</v>
      </c>
      <c r="AI67" s="1093"/>
      <c r="AJ67" s="1094"/>
    </row>
    <row r="68" spans="1:38" x14ac:dyDescent="0.2">
      <c r="Y68" s="247"/>
      <c r="AI68" s="247"/>
    </row>
    <row r="69" spans="1:38" x14ac:dyDescent="0.2">
      <c r="Y69" s="247"/>
    </row>
    <row r="70" spans="1:38" x14ac:dyDescent="0.2">
      <c r="F70" s="1177"/>
      <c r="Y70" s="247"/>
    </row>
    <row r="71" spans="1:38" x14ac:dyDescent="0.2">
      <c r="F71" s="1177"/>
      <c r="Y71" s="247"/>
    </row>
    <row r="72" spans="1:38" x14ac:dyDescent="0.2">
      <c r="Y72" s="247"/>
      <c r="AI72" s="248"/>
    </row>
    <row r="73" spans="1:38" x14ac:dyDescent="0.2">
      <c r="Y73" s="247"/>
      <c r="AI73" s="248"/>
    </row>
    <row r="74" spans="1:38" x14ac:dyDescent="0.2">
      <c r="Y74" s="247"/>
    </row>
    <row r="75" spans="1:38" x14ac:dyDescent="0.2">
      <c r="Y75" s="247"/>
    </row>
    <row r="76" spans="1:38" x14ac:dyDescent="0.2">
      <c r="Y76" s="247"/>
    </row>
    <row r="77" spans="1:38" x14ac:dyDescent="0.2">
      <c r="Y77" s="247"/>
      <c r="AB77" s="247"/>
    </row>
    <row r="78" spans="1:38" x14ac:dyDescent="0.2">
      <c r="Y78" s="247"/>
    </row>
    <row r="79" spans="1:38" x14ac:dyDescent="0.2">
      <c r="Y79" s="247"/>
    </row>
    <row r="80" spans="1:38" x14ac:dyDescent="0.2">
      <c r="Y80" s="247"/>
      <c r="AA80" s="247"/>
    </row>
  </sheetData>
  <sheetProtection selectLockedCells="1" selectUnlockedCells="1"/>
  <mergeCells count="23">
    <mergeCell ref="B1:AH1"/>
    <mergeCell ref="B2:AH2"/>
    <mergeCell ref="B3:AH3"/>
    <mergeCell ref="B5:B9"/>
    <mergeCell ref="D5:G5"/>
    <mergeCell ref="AD7:AE8"/>
    <mergeCell ref="P5:S5"/>
    <mergeCell ref="C4:AH4"/>
    <mergeCell ref="AF7:AG8"/>
    <mergeCell ref="AB5:AC5"/>
    <mergeCell ref="AH7:AJ8"/>
    <mergeCell ref="D6:AJ6"/>
    <mergeCell ref="C7:C9"/>
    <mergeCell ref="AF5:AG5"/>
    <mergeCell ref="B67:C67"/>
    <mergeCell ref="AD5:AE5"/>
    <mergeCell ref="V5:Y5"/>
    <mergeCell ref="AB7:AC8"/>
    <mergeCell ref="J5:M5"/>
    <mergeCell ref="D7:I8"/>
    <mergeCell ref="J7:O8"/>
    <mergeCell ref="P7:U8"/>
    <mergeCell ref="V7:AA8"/>
  </mergeCells>
  <phoneticPr fontId="33" type="noConversion"/>
  <pageMargins left="0.15748031496062992" right="0.15748031496062992" top="0.78740157480314965" bottom="0.78740157480314965" header="0.51181102362204722" footer="0.51181102362204722"/>
  <pageSetup paperSize="8" scale="86" firstPageNumber="0" fitToHeight="2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S43"/>
  <sheetViews>
    <sheetView topLeftCell="A8" workbookViewId="0">
      <selection activeCell="R28" sqref="R28"/>
    </sheetView>
  </sheetViews>
  <sheetFormatPr defaultColWidth="9.140625" defaultRowHeight="18" customHeight="1" x14ac:dyDescent="0.25"/>
  <cols>
    <col min="1" max="1" width="6.140625" style="29" customWidth="1"/>
    <col min="2" max="3" width="3.5703125" style="17" customWidth="1"/>
    <col min="4" max="4" width="41.5703125" style="23" customWidth="1"/>
    <col min="5" max="5" width="12.28515625" style="17" customWidth="1"/>
    <col min="6" max="6" width="11" style="17" customWidth="1"/>
    <col min="7" max="7" width="14" style="17" customWidth="1"/>
    <col min="8" max="9" width="0" style="217" hidden="1" customWidth="1"/>
    <col min="10" max="10" width="9.42578125" style="29" hidden="1" customWidth="1"/>
    <col min="11" max="16384" width="9.140625" style="29"/>
  </cols>
  <sheetData>
    <row r="1" spans="2:15" ht="18" customHeight="1" x14ac:dyDescent="0.25">
      <c r="B1" s="1327" t="s">
        <v>1242</v>
      </c>
      <c r="C1" s="1327"/>
      <c r="D1" s="1327"/>
      <c r="E1" s="1327"/>
      <c r="F1" s="1327"/>
      <c r="G1" s="1327"/>
      <c r="H1" s="1269"/>
      <c r="I1" s="1269"/>
      <c r="J1" s="1269"/>
    </row>
    <row r="3" spans="2:15" ht="15.75" customHeight="1" x14ac:dyDescent="0.25">
      <c r="B3" s="1329" t="s">
        <v>78</v>
      </c>
      <c r="C3" s="1329"/>
      <c r="D3" s="1329"/>
      <c r="E3" s="1329"/>
      <c r="F3" s="1329"/>
      <c r="G3" s="1329"/>
      <c r="H3" s="1269"/>
      <c r="I3" s="1269"/>
      <c r="J3" s="1269"/>
    </row>
    <row r="4" spans="2:15" ht="15.75" customHeight="1" x14ac:dyDescent="0.25">
      <c r="B4" s="1420" t="s">
        <v>1103</v>
      </c>
      <c r="C4" s="1421"/>
      <c r="D4" s="1421"/>
      <c r="E4" s="1421"/>
      <c r="F4" s="1421"/>
      <c r="G4" s="1421"/>
    </row>
    <row r="5" spans="2:15" ht="15.75" customHeight="1" x14ac:dyDescent="0.25">
      <c r="B5" s="1329" t="s">
        <v>957</v>
      </c>
      <c r="C5" s="1329"/>
      <c r="D5" s="1329"/>
      <c r="E5" s="1329"/>
      <c r="F5" s="1329"/>
      <c r="G5" s="1329"/>
      <c r="H5" s="1269"/>
      <c r="I5" s="1269"/>
      <c r="J5" s="1269"/>
    </row>
    <row r="6" spans="2:15" s="31" customFormat="1" ht="14.25" customHeight="1" x14ac:dyDescent="0.25">
      <c r="B6" s="1412" t="s">
        <v>326</v>
      </c>
      <c r="C6" s="1412"/>
      <c r="D6" s="1412"/>
      <c r="E6" s="1412"/>
      <c r="F6" s="1412"/>
      <c r="G6" s="1412"/>
      <c r="H6" s="1269"/>
      <c r="I6" s="1269"/>
      <c r="J6" s="1269"/>
    </row>
    <row r="7" spans="2:15" s="31" customFormat="1" ht="14.25" customHeight="1" x14ac:dyDescent="0.25">
      <c r="B7" s="26"/>
      <c r="C7" s="174"/>
      <c r="D7" s="175"/>
      <c r="E7" s="26"/>
      <c r="F7" s="26"/>
      <c r="G7" s="26"/>
    </row>
    <row r="8" spans="2:15" ht="30.6" customHeight="1" x14ac:dyDescent="0.25">
      <c r="B8" s="1413" t="s">
        <v>484</v>
      </c>
      <c r="C8" s="1415" t="s">
        <v>57</v>
      </c>
      <c r="D8" s="1415"/>
      <c r="E8" s="20" t="s">
        <v>58</v>
      </c>
      <c r="F8" s="20" t="s">
        <v>59</v>
      </c>
      <c r="G8" s="20" t="s">
        <v>60</v>
      </c>
      <c r="H8" s="29"/>
      <c r="I8" s="29"/>
    </row>
    <row r="9" spans="2:15" ht="30" customHeight="1" x14ac:dyDescent="0.25">
      <c r="B9" s="1414"/>
      <c r="C9" s="1416" t="s">
        <v>549</v>
      </c>
      <c r="D9" s="1416"/>
      <c r="E9" s="1419" t="s">
        <v>1167</v>
      </c>
      <c r="F9" s="1419"/>
      <c r="G9" s="1419"/>
      <c r="H9" s="29"/>
      <c r="I9" s="29"/>
      <c r="K9" s="1220" t="s">
        <v>1294</v>
      </c>
      <c r="L9" s="1220"/>
      <c r="M9" s="1222" t="s">
        <v>1292</v>
      </c>
      <c r="N9" s="1223"/>
      <c r="O9" s="1224"/>
    </row>
    <row r="10" spans="2:15" ht="52.9" customHeight="1" x14ac:dyDescent="0.25">
      <c r="B10" s="1414"/>
      <c r="C10" s="1417"/>
      <c r="D10" s="1418"/>
      <c r="E10" s="1180" t="s">
        <v>62</v>
      </c>
      <c r="F10" s="1180" t="s">
        <v>63</v>
      </c>
      <c r="G10" s="1180" t="s">
        <v>64</v>
      </c>
      <c r="H10" s="29"/>
      <c r="I10" s="29"/>
      <c r="K10" s="719" t="s">
        <v>62</v>
      </c>
      <c r="L10" s="719" t="s">
        <v>63</v>
      </c>
      <c r="M10" s="717" t="s">
        <v>62</v>
      </c>
      <c r="N10" s="717" t="s">
        <v>63</v>
      </c>
      <c r="O10" s="718" t="s">
        <v>64</v>
      </c>
    </row>
    <row r="11" spans="2:15" ht="23.25" customHeight="1" x14ac:dyDescent="0.25">
      <c r="B11" s="1181" t="s">
        <v>494</v>
      </c>
      <c r="C11" s="1411" t="s">
        <v>619</v>
      </c>
      <c r="D11" s="1411"/>
      <c r="E11" s="1059"/>
      <c r="F11" s="1059"/>
      <c r="G11" s="1059"/>
      <c r="H11" s="1182"/>
      <c r="I11" s="1182"/>
      <c r="J11" s="1182"/>
      <c r="K11" s="1182"/>
      <c r="L11" s="1182"/>
      <c r="M11" s="1182"/>
      <c r="N11" s="1182"/>
      <c r="O11" s="1182"/>
    </row>
    <row r="12" spans="2:15" ht="18" customHeight="1" x14ac:dyDescent="0.25">
      <c r="B12" s="1181" t="s">
        <v>502</v>
      </c>
      <c r="C12" s="1183" t="s">
        <v>583</v>
      </c>
      <c r="D12" s="1184"/>
      <c r="E12" s="1059"/>
      <c r="F12" s="1059"/>
      <c r="G12" s="1059"/>
      <c r="H12" s="1182"/>
      <c r="I12" s="1182"/>
      <c r="J12" s="1182"/>
      <c r="K12" s="1182"/>
      <c r="L12" s="1182"/>
      <c r="M12" s="1182"/>
      <c r="N12" s="1182"/>
      <c r="O12" s="1182"/>
    </row>
    <row r="13" spans="2:15" ht="18" customHeight="1" x14ac:dyDescent="0.25">
      <c r="B13" s="1181" t="s">
        <v>504</v>
      </c>
      <c r="C13" s="1185"/>
      <c r="D13" s="1186" t="s">
        <v>953</v>
      </c>
      <c r="E13" s="1059">
        <v>0</v>
      </c>
      <c r="F13" s="1059">
        <v>850</v>
      </c>
      <c r="G13" s="1059">
        <f>SUM(E13:F13)</f>
        <v>850</v>
      </c>
      <c r="H13" s="1182"/>
      <c r="I13" s="1182"/>
      <c r="J13" s="1182"/>
      <c r="K13" s="1182"/>
      <c r="L13" s="1182"/>
      <c r="M13" s="1182"/>
      <c r="N13" s="1182"/>
      <c r="O13" s="1182"/>
    </row>
    <row r="14" spans="2:15" ht="18" customHeight="1" x14ac:dyDescent="0.25">
      <c r="B14" s="1181" t="s">
        <v>505</v>
      </c>
      <c r="C14" s="1185"/>
      <c r="D14" s="1060" t="s">
        <v>583</v>
      </c>
      <c r="E14" s="1059"/>
      <c r="F14" s="1047">
        <v>0</v>
      </c>
      <c r="G14" s="1059">
        <f>SUM(E14:F14)</f>
        <v>0</v>
      </c>
      <c r="H14" s="1182"/>
      <c r="I14" s="1182"/>
      <c r="J14" s="1182"/>
      <c r="K14" s="1182"/>
      <c r="L14" s="1182"/>
      <c r="M14" s="1182"/>
      <c r="N14" s="1182"/>
      <c r="O14" s="1182"/>
    </row>
    <row r="15" spans="2:15" ht="18" customHeight="1" x14ac:dyDescent="0.25">
      <c r="B15" s="1181" t="s">
        <v>506</v>
      </c>
      <c r="C15" s="1185"/>
      <c r="D15" s="1060" t="s">
        <v>1008</v>
      </c>
      <c r="E15" s="1059"/>
      <c r="F15" s="1047">
        <v>600</v>
      </c>
      <c r="G15" s="1059">
        <f>SUM(E15:F15)</f>
        <v>600</v>
      </c>
      <c r="H15" s="1182"/>
      <c r="I15" s="1182"/>
      <c r="J15" s="1182"/>
      <c r="K15" s="1182"/>
      <c r="L15" s="1182"/>
      <c r="M15" s="1182"/>
      <c r="N15" s="1182"/>
      <c r="O15" s="1182"/>
    </row>
    <row r="16" spans="2:15" ht="18" customHeight="1" x14ac:dyDescent="0.25">
      <c r="B16" s="1181" t="s">
        <v>507</v>
      </c>
      <c r="C16" s="1185"/>
      <c r="D16" s="1060" t="s">
        <v>1009</v>
      </c>
      <c r="E16" s="1059"/>
      <c r="F16" s="1047">
        <v>800</v>
      </c>
      <c r="G16" s="1059">
        <f t="shared" ref="G16:G20" si="0">SUM(E16:F16)</f>
        <v>800</v>
      </c>
      <c r="H16" s="1182"/>
      <c r="I16" s="1182"/>
      <c r="J16" s="1182"/>
      <c r="K16" s="1182"/>
      <c r="L16" s="1182"/>
      <c r="M16" s="1182"/>
      <c r="N16" s="1182"/>
      <c r="O16" s="1182"/>
    </row>
    <row r="17" spans="2:19" ht="18" customHeight="1" x14ac:dyDescent="0.25">
      <c r="B17" s="1181" t="s">
        <v>508</v>
      </c>
      <c r="C17" s="1185"/>
      <c r="D17" s="1060" t="s">
        <v>1010</v>
      </c>
      <c r="E17" s="1059"/>
      <c r="F17" s="1047">
        <v>1000</v>
      </c>
      <c r="G17" s="1059">
        <f t="shared" si="0"/>
        <v>1000</v>
      </c>
      <c r="H17" s="1182"/>
      <c r="I17" s="1182"/>
      <c r="J17" s="1182"/>
      <c r="K17" s="1182"/>
      <c r="L17" s="1182"/>
      <c r="M17" s="1182"/>
      <c r="N17" s="1182"/>
      <c r="O17" s="1182"/>
    </row>
    <row r="18" spans="2:19" ht="18" customHeight="1" x14ac:dyDescent="0.25">
      <c r="B18" s="1181" t="s">
        <v>509</v>
      </c>
      <c r="C18" s="1185"/>
      <c r="D18" s="1060" t="s">
        <v>1011</v>
      </c>
      <c r="E18" s="1059"/>
      <c r="F18" s="1047">
        <v>600</v>
      </c>
      <c r="G18" s="1059">
        <f t="shared" si="0"/>
        <v>600</v>
      </c>
      <c r="H18" s="1182"/>
      <c r="I18" s="1182"/>
      <c r="J18" s="1182"/>
      <c r="K18" s="1182"/>
      <c r="L18" s="1182"/>
      <c r="M18" s="1182"/>
      <c r="N18" s="1182"/>
      <c r="O18" s="1182"/>
    </row>
    <row r="19" spans="2:19" ht="18" customHeight="1" x14ac:dyDescent="0.25">
      <c r="B19" s="1181" t="s">
        <v>551</v>
      </c>
      <c r="C19" s="1185"/>
      <c r="D19" s="1060" t="s">
        <v>1012</v>
      </c>
      <c r="E19" s="1059">
        <v>2300</v>
      </c>
      <c r="F19" s="1047">
        <v>0</v>
      </c>
      <c r="G19" s="1059">
        <f t="shared" si="0"/>
        <v>2300</v>
      </c>
      <c r="H19" s="1182"/>
      <c r="I19" s="1182"/>
      <c r="J19" s="1182"/>
      <c r="K19" s="1182"/>
      <c r="L19" s="1182"/>
      <c r="M19" s="1182"/>
      <c r="N19" s="1182"/>
      <c r="O19" s="1182"/>
    </row>
    <row r="20" spans="2:19" ht="18" customHeight="1" x14ac:dyDescent="0.25">
      <c r="B20" s="1181" t="s">
        <v>552</v>
      </c>
      <c r="C20" s="1185"/>
      <c r="D20" s="1187" t="s">
        <v>616</v>
      </c>
      <c r="E20" s="1059">
        <v>500</v>
      </c>
      <c r="F20" s="1047">
        <v>0</v>
      </c>
      <c r="G20" s="1059">
        <f t="shared" si="0"/>
        <v>500</v>
      </c>
      <c r="H20" s="1182"/>
      <c r="I20" s="1182"/>
      <c r="J20" s="1182"/>
      <c r="K20" s="1182"/>
      <c r="L20" s="1182"/>
      <c r="M20" s="1182"/>
      <c r="N20" s="1182"/>
      <c r="O20" s="1182"/>
    </row>
    <row r="21" spans="2:19" ht="18" customHeight="1" x14ac:dyDescent="0.25">
      <c r="B21" s="1181" t="s">
        <v>553</v>
      </c>
      <c r="C21" s="1185"/>
      <c r="D21" s="1187" t="s">
        <v>580</v>
      </c>
      <c r="E21" s="1059"/>
      <c r="F21" s="1047">
        <v>1800</v>
      </c>
      <c r="G21" s="1059">
        <f>SUM(E21:F21)</f>
        <v>1800</v>
      </c>
      <c r="H21" s="1182"/>
      <c r="I21" s="1182"/>
      <c r="J21" s="1182"/>
      <c r="K21" s="1182"/>
      <c r="L21" s="1182"/>
      <c r="M21" s="1182"/>
      <c r="N21" s="1182"/>
      <c r="O21" s="1182"/>
    </row>
    <row r="22" spans="2:19" ht="18" customHeight="1" thickBot="1" x14ac:dyDescent="0.3">
      <c r="B22" s="643" t="s">
        <v>554</v>
      </c>
      <c r="C22" s="1197"/>
      <c r="D22" s="1198" t="s">
        <v>579</v>
      </c>
      <c r="E22" s="1190"/>
      <c r="F22" s="1199">
        <v>1100</v>
      </c>
      <c r="G22" s="1190">
        <f>SUM(E22:F22)</f>
        <v>1100</v>
      </c>
      <c r="H22" s="1193"/>
      <c r="I22" s="1193"/>
      <c r="J22" s="1193"/>
      <c r="K22" s="1193"/>
      <c r="L22" s="1193"/>
      <c r="M22" s="1193"/>
      <c r="N22" s="1193"/>
      <c r="O22" s="1193"/>
    </row>
    <row r="23" spans="2:19" ht="18" customHeight="1" thickBot="1" x14ac:dyDescent="0.3">
      <c r="B23" s="1194" t="s">
        <v>555</v>
      </c>
      <c r="C23" s="1203" t="s">
        <v>954</v>
      </c>
      <c r="D23" s="1204"/>
      <c r="E23" s="572">
        <f>SUM(E13:E22)</f>
        <v>2800</v>
      </c>
      <c r="F23" s="572">
        <f>SUM(F13:F22)</f>
        <v>6750</v>
      </c>
      <c r="G23" s="572">
        <f t="shared" ref="G23:J23" si="1">SUM(G13:G22)</f>
        <v>9550</v>
      </c>
      <c r="H23" s="572">
        <f t="shared" si="1"/>
        <v>0</v>
      </c>
      <c r="I23" s="572">
        <f t="shared" si="1"/>
        <v>0</v>
      </c>
      <c r="J23" s="572">
        <f t="shared" si="1"/>
        <v>0</v>
      </c>
      <c r="K23" s="1205"/>
      <c r="L23" s="1205"/>
      <c r="M23" s="1205"/>
      <c r="N23" s="1205"/>
      <c r="O23" s="1206"/>
    </row>
    <row r="24" spans="2:19" ht="20.25" customHeight="1" x14ac:dyDescent="0.25">
      <c r="B24" s="644"/>
      <c r="C24" s="1200"/>
      <c r="D24" s="1201"/>
      <c r="E24" s="1200"/>
      <c r="F24" s="1200"/>
      <c r="G24" s="1200"/>
      <c r="H24" s="1202"/>
      <c r="I24" s="1202"/>
      <c r="J24" s="1202"/>
      <c r="K24" s="1202"/>
      <c r="L24" s="1202"/>
      <c r="M24" s="1202"/>
      <c r="N24" s="1202"/>
      <c r="O24" s="1202"/>
    </row>
    <row r="25" spans="2:19" ht="18" customHeight="1" x14ac:dyDescent="0.25">
      <c r="B25" s="1181" t="s">
        <v>556</v>
      </c>
      <c r="C25" s="1059" t="s">
        <v>621</v>
      </c>
      <c r="D25" s="1060"/>
      <c r="E25" s="1059"/>
      <c r="F25" s="1059"/>
      <c r="G25" s="1059"/>
      <c r="H25" s="1182"/>
      <c r="I25" s="1182"/>
      <c r="J25" s="1182"/>
      <c r="K25" s="1182"/>
      <c r="L25" s="1182"/>
      <c r="M25" s="1182"/>
      <c r="N25" s="1182"/>
      <c r="O25" s="1182"/>
      <c r="S25" s="30"/>
    </row>
    <row r="26" spans="2:19" ht="18" customHeight="1" x14ac:dyDescent="0.25">
      <c r="B26" s="1181" t="s">
        <v>557</v>
      </c>
      <c r="C26" s="1059"/>
      <c r="D26" s="1060" t="s">
        <v>622</v>
      </c>
      <c r="E26" s="1059"/>
      <c r="F26" s="1059">
        <v>0</v>
      </c>
      <c r="G26" s="1059">
        <f>SUM(E26:F26)</f>
        <v>0</v>
      </c>
      <c r="H26" s="1182"/>
      <c r="I26" s="1182"/>
      <c r="J26" s="1182"/>
      <c r="K26" s="1182"/>
      <c r="L26" s="1182"/>
      <c r="M26" s="1182"/>
      <c r="N26" s="1182"/>
      <c r="O26" s="1182"/>
    </row>
    <row r="27" spans="2:19" ht="18" customHeight="1" thickBot="1" x14ac:dyDescent="0.3">
      <c r="B27" s="1181" t="s">
        <v>558</v>
      </c>
      <c r="C27" s="1190"/>
      <c r="D27" s="1208" t="s">
        <v>570</v>
      </c>
      <c r="E27" s="1199">
        <v>0</v>
      </c>
      <c r="F27" s="1190">
        <v>0</v>
      </c>
      <c r="G27" s="1190">
        <f>SUM(E27:F27)</f>
        <v>0</v>
      </c>
      <c r="H27" s="1193"/>
      <c r="I27" s="1193"/>
      <c r="J27" s="1193"/>
      <c r="K27" s="1193"/>
      <c r="L27" s="1193"/>
      <c r="M27" s="1193"/>
      <c r="N27" s="1193"/>
      <c r="O27" s="1193"/>
    </row>
    <row r="28" spans="2:19" ht="18" customHeight="1" thickBot="1" x14ac:dyDescent="0.3">
      <c r="B28" s="1207" t="s">
        <v>560</v>
      </c>
      <c r="C28" s="1088" t="s">
        <v>955</v>
      </c>
      <c r="D28" s="1209"/>
      <c r="E28" s="1089">
        <f>SUM(E26:E27)</f>
        <v>0</v>
      </c>
      <c r="F28" s="1089">
        <f>SUM(F26:F27)</f>
        <v>0</v>
      </c>
      <c r="G28" s="1089">
        <f>SUM(G26:G27)</f>
        <v>0</v>
      </c>
      <c r="H28" s="1205"/>
      <c r="I28" s="1205"/>
      <c r="J28" s="1205"/>
      <c r="K28" s="1205"/>
      <c r="L28" s="1205"/>
      <c r="M28" s="1205"/>
      <c r="N28" s="1205"/>
      <c r="O28" s="1206"/>
    </row>
    <row r="29" spans="2:19" ht="18" customHeight="1" x14ac:dyDescent="0.25">
      <c r="B29" s="1181"/>
      <c r="C29" s="1200"/>
      <c r="D29" s="1081"/>
      <c r="E29" s="1200"/>
      <c r="F29" s="1200"/>
      <c r="G29" s="1200"/>
      <c r="H29" s="1202"/>
      <c r="I29" s="1202"/>
      <c r="J29" s="1202"/>
      <c r="K29" s="1202"/>
      <c r="L29" s="1202"/>
      <c r="M29" s="1202"/>
      <c r="N29" s="1202"/>
      <c r="O29" s="1202"/>
    </row>
    <row r="30" spans="2:19" ht="37.9" customHeight="1" x14ac:dyDescent="0.25">
      <c r="B30" s="1188" t="s">
        <v>561</v>
      </c>
      <c r="C30" s="1059"/>
      <c r="D30" s="1060" t="s">
        <v>624</v>
      </c>
      <c r="E30" s="1059"/>
      <c r="F30" s="1059">
        <v>4200</v>
      </c>
      <c r="G30" s="1059">
        <f>SUM(E30:F30)</f>
        <v>4200</v>
      </c>
      <c r="H30" s="1182"/>
      <c r="I30" s="1182"/>
      <c r="J30" s="1182"/>
      <c r="K30" s="1182"/>
      <c r="L30" s="1182"/>
      <c r="M30" s="1182"/>
      <c r="N30" s="1182"/>
      <c r="O30" s="1182"/>
    </row>
    <row r="31" spans="2:19" ht="23.25" customHeight="1" thickBot="1" x14ac:dyDescent="0.3">
      <c r="B31" s="1189" t="s">
        <v>562</v>
      </c>
      <c r="C31" s="1190"/>
      <c r="D31" s="1191" t="s">
        <v>620</v>
      </c>
      <c r="E31" s="1192">
        <f>E30</f>
        <v>0</v>
      </c>
      <c r="F31" s="1192">
        <f t="shared" ref="F31:G31" si="2">F30</f>
        <v>4200</v>
      </c>
      <c r="G31" s="1192">
        <f t="shared" si="2"/>
        <v>4200</v>
      </c>
      <c r="H31" s="1193"/>
      <c r="I31" s="1193"/>
      <c r="J31" s="1193"/>
      <c r="K31" s="1193"/>
      <c r="L31" s="1193"/>
      <c r="M31" s="1193"/>
      <c r="N31" s="1193"/>
      <c r="O31" s="1193"/>
    </row>
    <row r="32" spans="2:19" s="31" customFormat="1" ht="18" customHeight="1" thickBot="1" x14ac:dyDescent="0.3">
      <c r="B32" s="1194" t="s">
        <v>563</v>
      </c>
      <c r="C32" s="1089" t="s">
        <v>956</v>
      </c>
      <c r="D32" s="1085"/>
      <c r="E32" s="572">
        <f>E23+E28+E30</f>
        <v>2800</v>
      </c>
      <c r="F32" s="572">
        <f t="shared" ref="F32:G32" si="3">F23+F28+F30</f>
        <v>10950</v>
      </c>
      <c r="G32" s="572">
        <f t="shared" si="3"/>
        <v>13750</v>
      </c>
      <c r="H32" s="1195"/>
      <c r="I32" s="1195"/>
      <c r="J32" s="1195"/>
      <c r="K32" s="1195"/>
      <c r="L32" s="1195"/>
      <c r="M32" s="1195"/>
      <c r="N32" s="1195"/>
      <c r="O32" s="1196"/>
    </row>
    <row r="33" spans="2:9" ht="18" customHeight="1" x14ac:dyDescent="0.25">
      <c r="B33" s="422"/>
      <c r="H33" s="29"/>
      <c r="I33" s="29"/>
    </row>
    <row r="34" spans="2:9" ht="18" customHeight="1" x14ac:dyDescent="0.25">
      <c r="H34" s="29"/>
      <c r="I34" s="29"/>
    </row>
    <row r="35" spans="2:9" ht="18" customHeight="1" x14ac:dyDescent="0.25">
      <c r="H35" s="29"/>
      <c r="I35" s="29"/>
    </row>
    <row r="36" spans="2:9" ht="18" customHeight="1" x14ac:dyDescent="0.25">
      <c r="H36" s="29"/>
      <c r="I36" s="29"/>
    </row>
    <row r="37" spans="2:9" ht="18" customHeight="1" x14ac:dyDescent="0.25">
      <c r="H37" s="29"/>
      <c r="I37" s="29"/>
    </row>
    <row r="38" spans="2:9" ht="18" customHeight="1" x14ac:dyDescent="0.25">
      <c r="H38" s="29"/>
      <c r="I38" s="29"/>
    </row>
    <row r="39" spans="2:9" ht="18" customHeight="1" x14ac:dyDescent="0.25">
      <c r="H39" s="29"/>
      <c r="I39" s="29"/>
    </row>
    <row r="40" spans="2:9" ht="18" customHeight="1" x14ac:dyDescent="0.25">
      <c r="H40" s="29"/>
      <c r="I40" s="29"/>
    </row>
    <row r="41" spans="2:9" ht="18" customHeight="1" x14ac:dyDescent="0.25">
      <c r="H41" s="29"/>
      <c r="I41" s="29"/>
    </row>
    <row r="42" spans="2:9" ht="18" customHeight="1" x14ac:dyDescent="0.25">
      <c r="H42" s="29"/>
      <c r="I42" s="29"/>
    </row>
    <row r="43" spans="2:9" ht="18" customHeight="1" x14ac:dyDescent="0.25">
      <c r="H43" s="29"/>
      <c r="I43" s="29"/>
    </row>
  </sheetData>
  <sheetProtection selectLockedCells="1" selectUnlockedCells="1"/>
  <mergeCells count="12">
    <mergeCell ref="K9:L9"/>
    <mergeCell ref="M9:O9"/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4" type="noConversion"/>
  <pageMargins left="0.39370078740157483" right="0.39370078740157483" top="0.98425196850393704" bottom="0.98425196850393704" header="0.51181102362204722" footer="0.51181102362204722"/>
  <pageSetup paperSize="9" scale="70" firstPageNumber="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8"/>
  <sheetViews>
    <sheetView workbookViewId="0">
      <selection activeCell="P14" sqref="P14"/>
    </sheetView>
  </sheetViews>
  <sheetFormatPr defaultColWidth="9.140625" defaultRowHeight="18" customHeight="1" x14ac:dyDescent="0.2"/>
  <cols>
    <col min="1" max="1" width="12.28515625" style="4" customWidth="1"/>
    <col min="2" max="3" width="3.5703125" style="3" customWidth="1"/>
    <col min="4" max="4" width="35" style="171" customWidth="1"/>
    <col min="5" max="6" width="9.42578125" style="3" customWidth="1"/>
    <col min="7" max="7" width="9.7109375" style="3" customWidth="1"/>
    <col min="8" max="9" width="0" style="172" hidden="1" customWidth="1"/>
    <col min="10" max="10" width="9.85546875" style="185" hidden="1" customWidth="1"/>
    <col min="11" max="11" width="0" style="185" hidden="1" customWidth="1"/>
    <col min="12" max="16384" width="9.140625" style="4"/>
  </cols>
  <sheetData>
    <row r="1" spans="1:12" ht="31.5" customHeight="1" x14ac:dyDescent="0.2">
      <c r="B1" s="1423" t="s">
        <v>1195</v>
      </c>
      <c r="C1" s="1423"/>
      <c r="D1" s="1423"/>
      <c r="E1" s="1423"/>
      <c r="F1" s="1423"/>
      <c r="G1" s="1423"/>
      <c r="H1" s="1424"/>
      <c r="I1" s="1424"/>
      <c r="J1" s="1424"/>
      <c r="K1" s="1269"/>
    </row>
    <row r="3" spans="1:12" ht="12.75" customHeight="1" x14ac:dyDescent="0.2">
      <c r="B3" s="1268" t="s">
        <v>524</v>
      </c>
      <c r="C3" s="1268"/>
      <c r="D3" s="1268"/>
      <c r="E3" s="1268"/>
      <c r="F3" s="1268"/>
      <c r="G3" s="1268"/>
      <c r="H3" s="1269"/>
      <c r="I3" s="1269"/>
      <c r="J3" s="1269"/>
    </row>
    <row r="4" spans="1:12" ht="12.75" customHeight="1" x14ac:dyDescent="0.2">
      <c r="B4" s="1268" t="s">
        <v>1103</v>
      </c>
      <c r="C4" s="1268"/>
      <c r="D4" s="1268"/>
      <c r="E4" s="1268"/>
      <c r="F4" s="1268"/>
      <c r="G4" s="1268"/>
      <c r="H4" s="1269"/>
      <c r="I4" s="1269"/>
      <c r="J4" s="1269"/>
    </row>
    <row r="5" spans="1:12" ht="12.75" customHeight="1" x14ac:dyDescent="0.2">
      <c r="B5" s="1268" t="s">
        <v>957</v>
      </c>
      <c r="C5" s="1268"/>
      <c r="D5" s="1268"/>
      <c r="E5" s="1268"/>
      <c r="F5" s="1268"/>
      <c r="G5" s="1268"/>
      <c r="H5" s="1269"/>
      <c r="I5" s="1269"/>
      <c r="J5" s="1269"/>
    </row>
    <row r="6" spans="1:12" s="110" customFormat="1" ht="14.25" customHeight="1" x14ac:dyDescent="0.2">
      <c r="B6" s="166"/>
      <c r="C6" s="1422" t="s">
        <v>311</v>
      </c>
      <c r="D6" s="1422"/>
      <c r="E6" s="1370"/>
      <c r="F6" s="1370"/>
      <c r="G6" s="1370"/>
      <c r="H6" s="1269"/>
      <c r="I6" s="1269"/>
      <c r="J6" s="1269"/>
      <c r="K6" s="187"/>
    </row>
    <row r="7" spans="1:12" s="110" customFormat="1" ht="6" customHeight="1" x14ac:dyDescent="0.2">
      <c r="B7" s="166"/>
      <c r="C7" s="163"/>
      <c r="D7" s="177"/>
      <c r="E7" s="166"/>
      <c r="F7" s="166"/>
      <c r="G7" s="166"/>
      <c r="H7" s="216"/>
      <c r="I7" s="216"/>
      <c r="J7" s="187"/>
      <c r="K7" s="187"/>
    </row>
    <row r="8" spans="1:12" ht="27" customHeight="1" x14ac:dyDescent="0.25">
      <c r="B8" s="1425" t="s">
        <v>484</v>
      </c>
      <c r="C8" s="1428" t="s">
        <v>57</v>
      </c>
      <c r="D8" s="1428"/>
      <c r="E8" s="20" t="s">
        <v>58</v>
      </c>
      <c r="F8" s="20" t="s">
        <v>59</v>
      </c>
      <c r="G8" s="20" t="s">
        <v>60</v>
      </c>
      <c r="H8" s="185"/>
      <c r="I8" s="4"/>
      <c r="J8" s="4"/>
      <c r="K8" s="4"/>
    </row>
    <row r="9" spans="1:12" ht="30" customHeight="1" x14ac:dyDescent="0.2">
      <c r="B9" s="1426"/>
      <c r="C9" s="1416" t="s">
        <v>86</v>
      </c>
      <c r="D9" s="1416"/>
      <c r="E9" s="1430" t="s">
        <v>1099</v>
      </c>
      <c r="F9" s="1430"/>
      <c r="G9" s="1430"/>
      <c r="H9" s="185"/>
      <c r="I9" s="4"/>
      <c r="J9" s="4"/>
      <c r="K9" s="4"/>
    </row>
    <row r="10" spans="1:12" ht="41.25" customHeight="1" x14ac:dyDescent="0.2">
      <c r="B10" s="1427"/>
      <c r="C10" s="1416"/>
      <c r="D10" s="1416"/>
      <c r="E10" s="176" t="s">
        <v>62</v>
      </c>
      <c r="F10" s="176" t="s">
        <v>63</v>
      </c>
      <c r="G10" s="176" t="s">
        <v>64</v>
      </c>
      <c r="H10" s="185"/>
      <c r="I10" s="4"/>
      <c r="J10" s="4"/>
      <c r="K10" s="4"/>
    </row>
    <row r="11" spans="1:12" ht="18" customHeight="1" x14ac:dyDescent="0.2">
      <c r="A11" s="639"/>
      <c r="B11" s="640" t="s">
        <v>494</v>
      </c>
      <c r="C11" s="1431" t="s">
        <v>625</v>
      </c>
      <c r="D11" s="1431"/>
      <c r="E11" s="178"/>
      <c r="F11" s="169"/>
      <c r="G11" s="418"/>
      <c r="H11" s="185"/>
      <c r="I11" s="4"/>
      <c r="J11" s="4"/>
      <c r="K11" s="4"/>
      <c r="L11" s="433"/>
    </row>
    <row r="12" spans="1:12" ht="26.45" customHeight="1" x14ac:dyDescent="0.2">
      <c r="A12" s="639"/>
      <c r="B12" s="641" t="s">
        <v>502</v>
      </c>
      <c r="C12" s="169"/>
      <c r="D12" s="236" t="s">
        <v>958</v>
      </c>
      <c r="E12" s="180">
        <f>'tám, végl. pe.átv  '!C27</f>
        <v>350</v>
      </c>
      <c r="F12" s="179"/>
      <c r="G12" s="418">
        <f>SUM(E12:F12)</f>
        <v>350</v>
      </c>
      <c r="H12" s="185"/>
      <c r="I12" s="4"/>
      <c r="J12" s="4"/>
      <c r="K12" s="4"/>
      <c r="L12" s="433"/>
    </row>
    <row r="13" spans="1:12" ht="20.25" customHeight="1" x14ac:dyDescent="0.2">
      <c r="A13" s="639"/>
      <c r="B13" s="641" t="s">
        <v>503</v>
      </c>
      <c r="C13" s="169"/>
      <c r="D13" s="236" t="s">
        <v>110</v>
      </c>
      <c r="E13" s="178">
        <v>0</v>
      </c>
      <c r="F13" s="169">
        <f>SUM(F12)</f>
        <v>0</v>
      </c>
      <c r="G13" s="418">
        <f>SUM(E13:F13)</f>
        <v>0</v>
      </c>
      <c r="H13" s="185"/>
      <c r="I13" s="4"/>
      <c r="J13" s="4"/>
      <c r="K13" s="4"/>
      <c r="L13" s="433"/>
    </row>
    <row r="14" spans="1:12" ht="18" customHeight="1" x14ac:dyDescent="0.2">
      <c r="A14" s="639"/>
      <c r="B14" s="641" t="s">
        <v>504</v>
      </c>
      <c r="D14" s="181" t="s">
        <v>620</v>
      </c>
      <c r="E14" s="182">
        <f>SUM(E12:E13)</f>
        <v>350</v>
      </c>
      <c r="F14" s="170"/>
      <c r="G14" s="419">
        <f>SUM(G12:G13)</f>
        <v>350</v>
      </c>
      <c r="H14" s="185"/>
      <c r="I14" s="4"/>
      <c r="J14" s="4"/>
      <c r="K14" s="4"/>
      <c r="L14" s="433"/>
    </row>
    <row r="15" spans="1:12" ht="18" customHeight="1" x14ac:dyDescent="0.2">
      <c r="A15" s="639"/>
      <c r="B15" s="641" t="s">
        <v>505</v>
      </c>
      <c r="D15" s="181"/>
      <c r="E15" s="178"/>
      <c r="F15" s="169"/>
      <c r="G15" s="418"/>
      <c r="H15" s="185"/>
      <c r="I15" s="4"/>
      <c r="J15" s="4"/>
      <c r="K15" s="4"/>
      <c r="L15" s="433"/>
    </row>
    <row r="16" spans="1:12" ht="18" customHeight="1" x14ac:dyDescent="0.2">
      <c r="A16" s="639"/>
      <c r="B16" s="642" t="s">
        <v>506</v>
      </c>
      <c r="E16" s="218"/>
      <c r="F16" s="169"/>
      <c r="G16" s="420"/>
      <c r="H16" s="185"/>
      <c r="I16" s="4"/>
      <c r="J16" s="4"/>
      <c r="K16" s="4"/>
      <c r="L16" s="433"/>
    </row>
    <row r="17" spans="2:12" ht="18" customHeight="1" x14ac:dyDescent="0.2">
      <c r="B17" s="183" t="s">
        <v>507</v>
      </c>
      <c r="C17" s="1429" t="s">
        <v>623</v>
      </c>
      <c r="D17" s="1429"/>
      <c r="E17" s="184">
        <f>E14</f>
        <v>350</v>
      </c>
      <c r="F17" s="184">
        <f t="shared" ref="F17:G17" si="0">F14</f>
        <v>0</v>
      </c>
      <c r="G17" s="184">
        <f t="shared" si="0"/>
        <v>350</v>
      </c>
      <c r="H17" s="185"/>
      <c r="I17" s="4"/>
      <c r="J17" s="4"/>
      <c r="K17" s="4"/>
      <c r="L17" s="433"/>
    </row>
    <row r="18" spans="2:12" ht="18" customHeight="1" x14ac:dyDescent="0.2">
      <c r="B18" s="5"/>
      <c r="H18" s="185"/>
      <c r="I18" s="4"/>
      <c r="J18" s="4"/>
      <c r="K18" s="4"/>
    </row>
  </sheetData>
  <sheetProtection selectLockedCells="1" selectUnlockedCells="1"/>
  <mergeCells count="11">
    <mergeCell ref="B8:B10"/>
    <mergeCell ref="C8:D8"/>
    <mergeCell ref="C17:D17"/>
    <mergeCell ref="E9:G9"/>
    <mergeCell ref="C11:D11"/>
    <mergeCell ref="C9:D10"/>
    <mergeCell ref="B3:J3"/>
    <mergeCell ref="B4:J4"/>
    <mergeCell ref="B5:J5"/>
    <mergeCell ref="C6:J6"/>
    <mergeCell ref="B1:K1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55"/>
  <sheetViews>
    <sheetView zoomScale="120" workbookViewId="0">
      <selection activeCell="K56" sqref="K56"/>
    </sheetView>
  </sheetViews>
  <sheetFormatPr defaultColWidth="9.140625" defaultRowHeight="11.25" x14ac:dyDescent="0.2"/>
  <cols>
    <col min="1" max="1" width="4.85546875" style="119" customWidth="1"/>
    <col min="2" max="2" width="39.7109375" style="119" customWidth="1"/>
    <col min="3" max="3" width="10.28515625" style="120" customWidth="1"/>
    <col min="4" max="4" width="11" style="120" customWidth="1"/>
    <col min="5" max="10" width="10.85546875" style="120" customWidth="1"/>
    <col min="11" max="11" width="38.85546875" style="120" customWidth="1"/>
    <col min="12" max="13" width="11" style="208" customWidth="1"/>
    <col min="14" max="14" width="10.85546875" style="208" customWidth="1"/>
    <col min="15" max="15" width="9.140625" style="119"/>
    <col min="16" max="16" width="9.140625" style="10"/>
    <col min="17" max="17" width="10.7109375" style="10" customWidth="1"/>
    <col min="18" max="18" width="10.42578125" style="10" customWidth="1"/>
    <col min="19" max="19" width="10.5703125" style="10" customWidth="1"/>
    <col min="20" max="16384" width="9.140625" style="10"/>
  </cols>
  <sheetData>
    <row r="1" spans="1:19" ht="12.75" customHeight="1" x14ac:dyDescent="0.2">
      <c r="B1" s="1214" t="s">
        <v>1307</v>
      </c>
      <c r="C1" s="1214"/>
      <c r="D1" s="1214"/>
      <c r="E1" s="1214"/>
      <c r="F1" s="1214"/>
      <c r="G1" s="1214"/>
      <c r="H1" s="1214"/>
      <c r="I1" s="1214"/>
      <c r="J1" s="1214"/>
      <c r="K1" s="1214"/>
      <c r="L1" s="1214"/>
      <c r="M1" s="1214"/>
      <c r="N1" s="1214"/>
      <c r="O1" s="1214"/>
      <c r="P1" s="1214"/>
      <c r="Q1" s="1214"/>
      <c r="R1" s="1214"/>
      <c r="S1" s="1214"/>
    </row>
    <row r="2" spans="1:19" x14ac:dyDescent="0.2">
      <c r="N2" s="254"/>
    </row>
    <row r="3" spans="1:19" x14ac:dyDescent="0.2">
      <c r="N3" s="254"/>
    </row>
    <row r="4" spans="1:19" s="99" customFormat="1" ht="12.75" customHeight="1" x14ac:dyDescent="0.2">
      <c r="A4" s="1215" t="s">
        <v>78</v>
      </c>
      <c r="B4" s="1215"/>
      <c r="C4" s="1215"/>
      <c r="D4" s="1215"/>
      <c r="E4" s="1215"/>
      <c r="F4" s="1215"/>
      <c r="G4" s="1215"/>
      <c r="H4" s="1215"/>
      <c r="I4" s="1215"/>
      <c r="J4" s="1215"/>
      <c r="K4" s="1215"/>
      <c r="L4" s="1215"/>
      <c r="M4" s="1215"/>
      <c r="N4" s="1215"/>
      <c r="O4" s="1215"/>
      <c r="P4" s="1215"/>
      <c r="Q4" s="1215"/>
      <c r="R4" s="1215"/>
      <c r="S4" s="1215"/>
    </row>
    <row r="5" spans="1:19" s="99" customFormat="1" ht="12.75" customHeight="1" x14ac:dyDescent="0.2">
      <c r="A5" s="1338" t="s">
        <v>190</v>
      </c>
      <c r="B5" s="1338"/>
      <c r="C5" s="1338"/>
      <c r="D5" s="1338"/>
      <c r="E5" s="1338"/>
      <c r="F5" s="1338"/>
      <c r="G5" s="1338"/>
      <c r="H5" s="1338"/>
      <c r="I5" s="1338"/>
      <c r="J5" s="1338"/>
      <c r="K5" s="1338"/>
      <c r="L5" s="1338"/>
      <c r="M5" s="1338"/>
      <c r="N5" s="1338"/>
      <c r="O5" s="1338"/>
      <c r="P5" s="1338"/>
      <c r="Q5" s="1338"/>
      <c r="R5" s="1338"/>
      <c r="S5" s="1338"/>
    </row>
    <row r="6" spans="1:19" s="99" customFormat="1" ht="12.75" customHeight="1" x14ac:dyDescent="0.2">
      <c r="A6" s="1215" t="s">
        <v>1105</v>
      </c>
      <c r="B6" s="1215"/>
      <c r="C6" s="1215"/>
      <c r="D6" s="1215"/>
      <c r="E6" s="1215"/>
      <c r="F6" s="1215"/>
      <c r="G6" s="1215"/>
      <c r="H6" s="1215"/>
      <c r="I6" s="1215"/>
      <c r="J6" s="1215"/>
      <c r="K6" s="1215"/>
      <c r="L6" s="1215"/>
      <c r="M6" s="1215"/>
      <c r="N6" s="1215"/>
      <c r="O6" s="1215"/>
      <c r="P6" s="1215"/>
      <c r="Q6" s="1215"/>
      <c r="R6" s="1215"/>
      <c r="S6" s="1215"/>
    </row>
    <row r="7" spans="1:19" s="99" customFormat="1" x14ac:dyDescent="0.2">
      <c r="A7" s="122"/>
      <c r="B7" s="1226" t="s">
        <v>311</v>
      </c>
      <c r="C7" s="1226"/>
      <c r="D7" s="1226"/>
      <c r="E7" s="1226"/>
      <c r="F7" s="1226"/>
      <c r="G7" s="1226"/>
      <c r="H7" s="1226"/>
      <c r="I7" s="1226"/>
      <c r="J7" s="1226"/>
      <c r="K7" s="1226"/>
      <c r="L7" s="1226"/>
      <c r="M7" s="1226"/>
      <c r="N7" s="1226"/>
      <c r="O7" s="1226"/>
      <c r="P7" s="1226"/>
      <c r="Q7" s="1226"/>
      <c r="R7" s="1226"/>
      <c r="S7" s="1226"/>
    </row>
    <row r="8" spans="1:19" s="99" customFormat="1" ht="12.75" customHeight="1" x14ac:dyDescent="0.2">
      <c r="A8" s="1564" t="s">
        <v>56</v>
      </c>
      <c r="B8" s="1557" t="s">
        <v>57</v>
      </c>
      <c r="C8" s="1558" t="s">
        <v>58</v>
      </c>
      <c r="D8" s="1557"/>
      <c r="E8" s="1557"/>
      <c r="F8" s="1557"/>
      <c r="G8" s="1557"/>
      <c r="H8" s="1557"/>
      <c r="I8" s="1557"/>
      <c r="J8" s="1559"/>
      <c r="K8" s="1560" t="s">
        <v>59</v>
      </c>
      <c r="L8" s="1432" t="s">
        <v>60</v>
      </c>
      <c r="M8" s="1432"/>
      <c r="N8" s="1432"/>
      <c r="O8" s="1432"/>
      <c r="P8" s="1432"/>
      <c r="Q8" s="1432"/>
      <c r="R8" s="1432"/>
      <c r="S8" s="1432"/>
    </row>
    <row r="9" spans="1:19" s="99" customFormat="1" ht="12.75" customHeight="1" x14ac:dyDescent="0.2">
      <c r="A9" s="1565"/>
      <c r="B9" s="1218"/>
      <c r="C9" s="1228" t="s">
        <v>1316</v>
      </c>
      <c r="D9" s="1228"/>
      <c r="E9" s="1229"/>
      <c r="F9" s="1220" t="s">
        <v>1293</v>
      </c>
      <c r="G9" s="1220"/>
      <c r="H9" s="1222" t="s">
        <v>1315</v>
      </c>
      <c r="I9" s="1223"/>
      <c r="J9" s="1224"/>
      <c r="K9" s="1336"/>
      <c r="L9" s="1228" t="s">
        <v>1316</v>
      </c>
      <c r="M9" s="1228"/>
      <c r="N9" s="1229"/>
      <c r="O9" s="1220" t="s">
        <v>1293</v>
      </c>
      <c r="P9" s="1220"/>
      <c r="Q9" s="1222" t="s">
        <v>1315</v>
      </c>
      <c r="R9" s="1223"/>
      <c r="S9" s="1224"/>
    </row>
    <row r="10" spans="1:19" s="219" customFormat="1" ht="36.6" customHeight="1" x14ac:dyDescent="0.2">
      <c r="A10" s="1566"/>
      <c r="B10" s="1567" t="s">
        <v>61</v>
      </c>
      <c r="C10" s="1532" t="s">
        <v>62</v>
      </c>
      <c r="D10" s="1532" t="s">
        <v>63</v>
      </c>
      <c r="E10" s="1533" t="s">
        <v>64</v>
      </c>
      <c r="F10" s="1534" t="s">
        <v>62</v>
      </c>
      <c r="G10" s="1534" t="s">
        <v>63</v>
      </c>
      <c r="H10" s="1532" t="s">
        <v>62</v>
      </c>
      <c r="I10" s="1532" t="s">
        <v>63</v>
      </c>
      <c r="J10" s="1533" t="s">
        <v>64</v>
      </c>
      <c r="K10" s="1568" t="s">
        <v>65</v>
      </c>
      <c r="L10" s="756" t="s">
        <v>62</v>
      </c>
      <c r="M10" s="756" t="s">
        <v>63</v>
      </c>
      <c r="N10" s="756" t="s">
        <v>64</v>
      </c>
      <c r="O10" s="757" t="s">
        <v>62</v>
      </c>
      <c r="P10" s="757" t="s">
        <v>63</v>
      </c>
      <c r="Q10" s="757" t="s">
        <v>62</v>
      </c>
      <c r="R10" s="757" t="s">
        <v>63</v>
      </c>
      <c r="S10" s="757" t="s">
        <v>64</v>
      </c>
    </row>
    <row r="11" spans="1:19" ht="11.45" customHeight="1" x14ac:dyDescent="0.2">
      <c r="A11" s="746">
        <v>1</v>
      </c>
      <c r="B11" s="1488" t="s">
        <v>24</v>
      </c>
      <c r="C11" s="127"/>
      <c r="D11" s="127"/>
      <c r="E11" s="127"/>
      <c r="F11" s="127"/>
      <c r="G11" s="127"/>
      <c r="H11" s="127"/>
      <c r="I11" s="127"/>
      <c r="J11" s="1569"/>
      <c r="K11" s="1499" t="s">
        <v>25</v>
      </c>
      <c r="L11" s="1510"/>
      <c r="M11" s="1510"/>
      <c r="N11" s="1506"/>
      <c r="O11" s="209"/>
      <c r="P11" s="209"/>
      <c r="Q11" s="209"/>
      <c r="R11" s="209"/>
      <c r="S11" s="1554"/>
    </row>
    <row r="12" spans="1:19" x14ac:dyDescent="0.2">
      <c r="A12" s="1544">
        <f t="shared" ref="A12:A54" si="0">A11+1</f>
        <v>2</v>
      </c>
      <c r="B12" s="124" t="s">
        <v>35</v>
      </c>
      <c r="C12" s="96"/>
      <c r="D12" s="96"/>
      <c r="E12" s="96">
        <f t="shared" ref="E12:E18" si="1">SUM(C12:D12)</f>
        <v>0</v>
      </c>
      <c r="F12" s="96"/>
      <c r="G12" s="96"/>
      <c r="H12" s="96"/>
      <c r="I12" s="96"/>
      <c r="J12" s="336"/>
      <c r="K12" s="96" t="s">
        <v>223</v>
      </c>
      <c r="L12" s="203">
        <v>200542</v>
      </c>
      <c r="M12" s="203">
        <v>42182</v>
      </c>
      <c r="N12" s="1491">
        <f>SUM(L12:M12)</f>
        <v>242724</v>
      </c>
      <c r="O12" s="209">
        <v>20000</v>
      </c>
      <c r="P12" s="209">
        <v>2318</v>
      </c>
      <c r="Q12" s="1506">
        <f>L12+O12</f>
        <v>220542</v>
      </c>
      <c r="R12" s="1506">
        <f>M12+P12</f>
        <v>44500</v>
      </c>
      <c r="S12" s="1530">
        <f>Q12+R12</f>
        <v>265042</v>
      </c>
    </row>
    <row r="13" spans="1:19" x14ac:dyDescent="0.2">
      <c r="A13" s="1544">
        <f t="shared" si="0"/>
        <v>3</v>
      </c>
      <c r="B13" s="124" t="s">
        <v>36</v>
      </c>
      <c r="C13" s="96"/>
      <c r="D13" s="96"/>
      <c r="E13" s="96">
        <f t="shared" si="1"/>
        <v>0</v>
      </c>
      <c r="F13" s="96"/>
      <c r="G13" s="96"/>
      <c r="H13" s="96"/>
      <c r="I13" s="96"/>
      <c r="J13" s="336"/>
      <c r="K13" s="1505" t="s">
        <v>224</v>
      </c>
      <c r="L13" s="203">
        <v>43074</v>
      </c>
      <c r="M13" s="203">
        <v>8014</v>
      </c>
      <c r="N13" s="1491">
        <f>SUM(L13:M13)</f>
        <v>51088</v>
      </c>
      <c r="O13" s="1506">
        <v>3900</v>
      </c>
      <c r="P13" s="209">
        <v>226</v>
      </c>
      <c r="Q13" s="1506">
        <f t="shared" ref="Q13:Q14" si="2">L13+O13</f>
        <v>46974</v>
      </c>
      <c r="R13" s="1506">
        <f t="shared" ref="R13:R14" si="3">M13+P13</f>
        <v>8240</v>
      </c>
      <c r="S13" s="1530">
        <f t="shared" ref="S13:S14" si="4">Q13+R13</f>
        <v>55214</v>
      </c>
    </row>
    <row r="14" spans="1:19" x14ac:dyDescent="0.2">
      <c r="A14" s="1544">
        <f t="shared" si="0"/>
        <v>4</v>
      </c>
      <c r="B14" s="124" t="s">
        <v>200</v>
      </c>
      <c r="C14" s="96">
        <f>'tám, végl. pe.átv  '!C61</f>
        <v>0</v>
      </c>
      <c r="D14" s="96">
        <f>'tám, végl. pe.átv  '!D61</f>
        <v>1696</v>
      </c>
      <c r="E14" s="203">
        <f t="shared" si="1"/>
        <v>1696</v>
      </c>
      <c r="F14" s="203"/>
      <c r="G14" s="203">
        <v>2544</v>
      </c>
      <c r="H14" s="203">
        <f>C14+F14</f>
        <v>0</v>
      </c>
      <c r="I14" s="203">
        <f>D14+G14</f>
        <v>4240</v>
      </c>
      <c r="J14" s="349">
        <f>H14+I14</f>
        <v>4240</v>
      </c>
      <c r="K14" s="96" t="s">
        <v>225</v>
      </c>
      <c r="L14" s="203">
        <v>178501</v>
      </c>
      <c r="M14" s="203">
        <v>49746</v>
      </c>
      <c r="N14" s="1491">
        <f>SUM(L14:M14)</f>
        <v>228247</v>
      </c>
      <c r="O14" s="209">
        <v>87155</v>
      </c>
      <c r="P14" s="209"/>
      <c r="Q14" s="1506">
        <f t="shared" si="2"/>
        <v>265656</v>
      </c>
      <c r="R14" s="1506">
        <f t="shared" si="3"/>
        <v>49746</v>
      </c>
      <c r="S14" s="1530">
        <f t="shared" si="4"/>
        <v>315402</v>
      </c>
    </row>
    <row r="15" spans="1:19" ht="12" customHeight="1" x14ac:dyDescent="0.2">
      <c r="A15" s="1544">
        <f t="shared" si="0"/>
        <v>5</v>
      </c>
      <c r="B15" s="1539"/>
      <c r="C15" s="96"/>
      <c r="D15" s="96"/>
      <c r="E15" s="96"/>
      <c r="F15" s="96"/>
      <c r="G15" s="96"/>
      <c r="H15" s="203"/>
      <c r="I15" s="96"/>
      <c r="J15" s="349"/>
      <c r="K15" s="96"/>
      <c r="L15" s="1562"/>
      <c r="M15" s="1562"/>
      <c r="N15" s="203"/>
      <c r="O15" s="209"/>
      <c r="P15" s="209"/>
      <c r="Q15" s="209"/>
      <c r="R15" s="209"/>
      <c r="S15" s="1554"/>
    </row>
    <row r="16" spans="1:19" x14ac:dyDescent="0.2">
      <c r="A16" s="1544">
        <f t="shared" si="0"/>
        <v>6</v>
      </c>
      <c r="B16" s="124" t="s">
        <v>38</v>
      </c>
      <c r="C16" s="96"/>
      <c r="D16" s="96"/>
      <c r="E16" s="96">
        <f t="shared" si="1"/>
        <v>0</v>
      </c>
      <c r="F16" s="96"/>
      <c r="G16" s="96"/>
      <c r="H16" s="203"/>
      <c r="I16" s="96"/>
      <c r="J16" s="349"/>
      <c r="K16" s="96" t="s">
        <v>28</v>
      </c>
      <c r="L16" s="1506"/>
      <c r="M16" s="1506"/>
      <c r="N16" s="1506"/>
      <c r="O16" s="209"/>
      <c r="P16" s="209"/>
      <c r="Q16" s="209"/>
      <c r="R16" s="209"/>
      <c r="S16" s="1554"/>
    </row>
    <row r="17" spans="1:19" x14ac:dyDescent="0.2">
      <c r="A17" s="1544">
        <f t="shared" si="0"/>
        <v>7</v>
      </c>
      <c r="B17" s="124"/>
      <c r="C17" s="96"/>
      <c r="D17" s="96"/>
      <c r="E17" s="96"/>
      <c r="F17" s="96"/>
      <c r="G17" s="96"/>
      <c r="H17" s="203"/>
      <c r="I17" s="96"/>
      <c r="J17" s="349"/>
      <c r="K17" s="96" t="s">
        <v>30</v>
      </c>
      <c r="L17" s="1506"/>
      <c r="M17" s="1506"/>
      <c r="N17" s="1506"/>
      <c r="O17" s="209"/>
      <c r="P17" s="209"/>
      <c r="Q17" s="209"/>
      <c r="R17" s="209"/>
      <c r="S17" s="1554"/>
    </row>
    <row r="18" spans="1:19" x14ac:dyDescent="0.2">
      <c r="A18" s="1544">
        <f t="shared" si="0"/>
        <v>8</v>
      </c>
      <c r="B18" s="124" t="s">
        <v>39</v>
      </c>
      <c r="C18" s="96"/>
      <c r="D18" s="96"/>
      <c r="E18" s="96">
        <f t="shared" si="1"/>
        <v>0</v>
      </c>
      <c r="F18" s="96"/>
      <c r="G18" s="96"/>
      <c r="H18" s="203"/>
      <c r="I18" s="96"/>
      <c r="J18" s="349"/>
      <c r="K18" s="96" t="s">
        <v>461</v>
      </c>
      <c r="L18" s="1506"/>
      <c r="M18" s="1506"/>
      <c r="N18" s="1506"/>
      <c r="O18" s="209"/>
      <c r="P18" s="209"/>
      <c r="Q18" s="209"/>
      <c r="R18" s="209"/>
      <c r="S18" s="1554"/>
    </row>
    <row r="19" spans="1:19" x14ac:dyDescent="0.2">
      <c r="A19" s="1544">
        <f t="shared" si="0"/>
        <v>9</v>
      </c>
      <c r="B19" s="126" t="s">
        <v>40</v>
      </c>
      <c r="C19" s="1538"/>
      <c r="D19" s="1538"/>
      <c r="E19" s="1538"/>
      <c r="F19" s="1538"/>
      <c r="G19" s="1538"/>
      <c r="H19" s="203"/>
      <c r="I19" s="1538"/>
      <c r="J19" s="349"/>
      <c r="K19" s="96" t="s">
        <v>460</v>
      </c>
      <c r="L19" s="1506"/>
      <c r="M19" s="1506"/>
      <c r="N19" s="1506"/>
      <c r="O19" s="209"/>
      <c r="P19" s="209"/>
      <c r="Q19" s="209"/>
      <c r="R19" s="209"/>
      <c r="S19" s="1554"/>
    </row>
    <row r="20" spans="1:19" x14ac:dyDescent="0.2">
      <c r="A20" s="1544">
        <f t="shared" si="0"/>
        <v>10</v>
      </c>
      <c r="B20" s="124" t="s">
        <v>202</v>
      </c>
      <c r="C20" s="1491">
        <f>54374+1800</f>
        <v>56174</v>
      </c>
      <c r="D20" s="1491">
        <f>47860-1960</f>
        <v>45900</v>
      </c>
      <c r="E20" s="1491">
        <f>SUM(C20:D20)</f>
        <v>102074</v>
      </c>
      <c r="F20" s="1491">
        <v>69328</v>
      </c>
      <c r="G20" s="1491"/>
      <c r="H20" s="203">
        <f t="shared" ref="H20:I32" si="5">C20+F20</f>
        <v>125502</v>
      </c>
      <c r="I20" s="203">
        <f t="shared" si="5"/>
        <v>45900</v>
      </c>
      <c r="J20" s="349">
        <f t="shared" ref="J20:J34" si="6">H20+I20</f>
        <v>171402</v>
      </c>
      <c r="K20" s="96" t="s">
        <v>198</v>
      </c>
      <c r="L20" s="1506"/>
      <c r="M20" s="1506"/>
      <c r="N20" s="1506"/>
      <c r="O20" s="209"/>
      <c r="P20" s="209"/>
      <c r="Q20" s="209"/>
      <c r="R20" s="209"/>
      <c r="S20" s="1554"/>
    </row>
    <row r="21" spans="1:19" x14ac:dyDescent="0.2">
      <c r="A21" s="1544">
        <f t="shared" si="0"/>
        <v>11</v>
      </c>
      <c r="B21" s="1492"/>
      <c r="C21" s="1538"/>
      <c r="D21" s="1538"/>
      <c r="E21" s="1538"/>
      <c r="F21" s="1538"/>
      <c r="G21" s="1538"/>
      <c r="H21" s="203"/>
      <c r="I21" s="1538"/>
      <c r="J21" s="349"/>
      <c r="K21" s="96" t="s">
        <v>962</v>
      </c>
      <c r="L21" s="1506"/>
      <c r="M21" s="1506"/>
      <c r="N21" s="1506"/>
      <c r="O21" s="209"/>
      <c r="P21" s="209"/>
      <c r="Q21" s="209"/>
      <c r="R21" s="209"/>
      <c r="S21" s="1554"/>
    </row>
    <row r="22" spans="1:19" s="101" customFormat="1" x14ac:dyDescent="0.2">
      <c r="A22" s="1544">
        <f t="shared" si="0"/>
        <v>12</v>
      </c>
      <c r="B22" s="1492" t="s">
        <v>42</v>
      </c>
      <c r="C22" s="1538"/>
      <c r="D22" s="1538"/>
      <c r="E22" s="1538"/>
      <c r="F22" s="1538"/>
      <c r="G22" s="1538"/>
      <c r="H22" s="203"/>
      <c r="I22" s="1538"/>
      <c r="J22" s="349"/>
      <c r="K22" s="96" t="s">
        <v>963</v>
      </c>
      <c r="L22" s="1506"/>
      <c r="M22" s="1506"/>
      <c r="N22" s="1506"/>
      <c r="O22" s="1508"/>
      <c r="P22" s="1508"/>
      <c r="Q22" s="1508"/>
      <c r="R22" s="1508"/>
      <c r="S22" s="1555"/>
    </row>
    <row r="23" spans="1:19" s="101" customFormat="1" x14ac:dyDescent="0.2">
      <c r="A23" s="1544">
        <f t="shared" si="0"/>
        <v>13</v>
      </c>
      <c r="B23" s="1492" t="s">
        <v>43</v>
      </c>
      <c r="C23" s="1538"/>
      <c r="D23" s="1538"/>
      <c r="E23" s="1538"/>
      <c r="F23" s="1538"/>
      <c r="G23" s="1538"/>
      <c r="H23" s="203"/>
      <c r="I23" s="1538"/>
      <c r="J23" s="349"/>
      <c r="K23" s="125"/>
      <c r="L23" s="1506"/>
      <c r="M23" s="1506"/>
      <c r="N23" s="1506"/>
      <c r="O23" s="1508"/>
      <c r="P23" s="1508"/>
      <c r="Q23" s="1508"/>
      <c r="R23" s="1508"/>
      <c r="S23" s="1555"/>
    </row>
    <row r="24" spans="1:19" x14ac:dyDescent="0.2">
      <c r="A24" s="1544">
        <f t="shared" si="0"/>
        <v>14</v>
      </c>
      <c r="B24" s="124" t="s">
        <v>44</v>
      </c>
      <c r="C24" s="1540"/>
      <c r="D24" s="1540"/>
      <c r="E24" s="1540"/>
      <c r="F24" s="1540"/>
      <c r="G24" s="1540"/>
      <c r="H24" s="203"/>
      <c r="I24" s="1540"/>
      <c r="J24" s="349"/>
      <c r="K24" s="1541" t="s">
        <v>66</v>
      </c>
      <c r="L24" s="1509">
        <f>SUM(L12:L22)</f>
        <v>422117</v>
      </c>
      <c r="M24" s="1509">
        <f>SUM(M12:M22)</f>
        <v>99942</v>
      </c>
      <c r="N24" s="1509">
        <f>SUM(N12:N22)</f>
        <v>522059</v>
      </c>
      <c r="O24" s="1509">
        <f t="shared" ref="O24:S24" si="7">SUM(O12:O22)</f>
        <v>111055</v>
      </c>
      <c r="P24" s="1509">
        <f t="shared" si="7"/>
        <v>2544</v>
      </c>
      <c r="Q24" s="1509">
        <f t="shared" si="7"/>
        <v>533172</v>
      </c>
      <c r="R24" s="1509">
        <f t="shared" si="7"/>
        <v>102486</v>
      </c>
      <c r="S24" s="1528">
        <f t="shared" si="7"/>
        <v>635658</v>
      </c>
    </row>
    <row r="25" spans="1:19" x14ac:dyDescent="0.2">
      <c r="A25" s="1544">
        <f t="shared" si="0"/>
        <v>15</v>
      </c>
      <c r="B25" s="124" t="s">
        <v>45</v>
      </c>
      <c r="C25" s="1538"/>
      <c r="D25" s="1538"/>
      <c r="E25" s="1538"/>
      <c r="F25" s="1538"/>
      <c r="G25" s="1538"/>
      <c r="H25" s="203"/>
      <c r="I25" s="1538"/>
      <c r="J25" s="349"/>
      <c r="K25" s="125"/>
      <c r="L25" s="1506"/>
      <c r="M25" s="1506"/>
      <c r="N25" s="1506"/>
      <c r="O25" s="209"/>
      <c r="P25" s="209"/>
      <c r="Q25" s="209"/>
      <c r="R25" s="209"/>
      <c r="S25" s="1554"/>
    </row>
    <row r="26" spans="1:19" x14ac:dyDescent="0.2">
      <c r="A26" s="1544">
        <f t="shared" si="0"/>
        <v>16</v>
      </c>
      <c r="B26" s="124" t="s">
        <v>46</v>
      </c>
      <c r="C26" s="1499"/>
      <c r="D26" s="1499"/>
      <c r="E26" s="1499"/>
      <c r="F26" s="1499"/>
      <c r="G26" s="1499"/>
      <c r="H26" s="203"/>
      <c r="I26" s="1499"/>
      <c r="J26" s="349"/>
      <c r="K26" s="1499" t="s">
        <v>34</v>
      </c>
      <c r="L26" s="1510"/>
      <c r="M26" s="1510"/>
      <c r="N26" s="1506"/>
      <c r="O26" s="209"/>
      <c r="P26" s="209"/>
      <c r="Q26" s="209"/>
      <c r="R26" s="209"/>
      <c r="S26" s="1554"/>
    </row>
    <row r="27" spans="1:19" x14ac:dyDescent="0.2">
      <c r="A27" s="1544">
        <f t="shared" si="0"/>
        <v>17</v>
      </c>
      <c r="B27" s="124" t="s">
        <v>47</v>
      </c>
      <c r="C27" s="96"/>
      <c r="D27" s="96"/>
      <c r="E27" s="96"/>
      <c r="F27" s="96"/>
      <c r="G27" s="96"/>
      <c r="H27" s="203"/>
      <c r="I27" s="96"/>
      <c r="J27" s="349"/>
      <c r="K27" s="96" t="s">
        <v>281</v>
      </c>
      <c r="L27" s="1506">
        <f>'felhalm. kiad.  '!M125</f>
        <v>6000</v>
      </c>
      <c r="M27" s="1506">
        <f>'felhalm. kiad.  '!P125</f>
        <v>0</v>
      </c>
      <c r="N27" s="1506">
        <f>SUM(L27:M27)</f>
        <v>6000</v>
      </c>
      <c r="O27" s="209"/>
      <c r="P27" s="209"/>
      <c r="Q27" s="1506">
        <f>L27+O27</f>
        <v>6000</v>
      </c>
      <c r="R27" s="1506">
        <f>M27+P27</f>
        <v>0</v>
      </c>
      <c r="S27" s="1530">
        <f>Q27+R27</f>
        <v>6000</v>
      </c>
    </row>
    <row r="28" spans="1:19" x14ac:dyDescent="0.2">
      <c r="A28" s="1544">
        <f t="shared" si="0"/>
        <v>18</v>
      </c>
      <c r="B28" s="124"/>
      <c r="C28" s="96"/>
      <c r="D28" s="96"/>
      <c r="E28" s="96"/>
      <c r="F28" s="96"/>
      <c r="G28" s="96"/>
      <c r="H28" s="203"/>
      <c r="I28" s="96"/>
      <c r="J28" s="349"/>
      <c r="K28" s="96" t="s">
        <v>31</v>
      </c>
      <c r="L28" s="1506"/>
      <c r="M28" s="1506"/>
      <c r="N28" s="1506"/>
      <c r="O28" s="209"/>
      <c r="P28" s="209"/>
      <c r="Q28" s="209"/>
      <c r="R28" s="209"/>
      <c r="S28" s="1554"/>
    </row>
    <row r="29" spans="1:19" x14ac:dyDescent="0.2">
      <c r="A29" s="1544">
        <f t="shared" si="0"/>
        <v>19</v>
      </c>
      <c r="B29" s="1492" t="s">
        <v>50</v>
      </c>
      <c r="C29" s="96"/>
      <c r="D29" s="96"/>
      <c r="E29" s="96"/>
      <c r="F29" s="96"/>
      <c r="G29" s="96"/>
      <c r="H29" s="203"/>
      <c r="I29" s="96"/>
      <c r="J29" s="349"/>
      <c r="K29" s="96" t="s">
        <v>32</v>
      </c>
      <c r="L29" s="1506"/>
      <c r="M29" s="1506"/>
      <c r="N29" s="1506"/>
      <c r="O29" s="209"/>
      <c r="P29" s="209"/>
      <c r="Q29" s="209"/>
      <c r="R29" s="209"/>
      <c r="S29" s="1554"/>
    </row>
    <row r="30" spans="1:19" s="101" customFormat="1" x14ac:dyDescent="0.2">
      <c r="A30" s="1544">
        <f t="shared" si="0"/>
        <v>20</v>
      </c>
      <c r="B30" s="1492" t="s">
        <v>48</v>
      </c>
      <c r="C30" s="96"/>
      <c r="D30" s="96"/>
      <c r="E30" s="96"/>
      <c r="F30" s="96"/>
      <c r="G30" s="96"/>
      <c r="H30" s="203"/>
      <c r="I30" s="96"/>
      <c r="J30" s="349"/>
      <c r="K30" s="96" t="s">
        <v>462</v>
      </c>
      <c r="L30" s="1506"/>
      <c r="M30" s="1506"/>
      <c r="N30" s="1506"/>
      <c r="O30" s="1508"/>
      <c r="P30" s="1508"/>
      <c r="Q30" s="1508"/>
      <c r="R30" s="1508"/>
      <c r="S30" s="1555"/>
    </row>
    <row r="31" spans="1:19" x14ac:dyDescent="0.2">
      <c r="A31" s="1544">
        <f t="shared" si="0"/>
        <v>21</v>
      </c>
      <c r="B31" s="1492"/>
      <c r="C31" s="96"/>
      <c r="D31" s="96"/>
      <c r="E31" s="96"/>
      <c r="F31" s="96"/>
      <c r="G31" s="96"/>
      <c r="H31" s="203"/>
      <c r="I31" s="96"/>
      <c r="J31" s="349"/>
      <c r="K31" s="96" t="s">
        <v>459</v>
      </c>
      <c r="L31" s="1506"/>
      <c r="M31" s="1506"/>
      <c r="N31" s="1506"/>
      <c r="O31" s="209"/>
      <c r="P31" s="209"/>
      <c r="Q31" s="209"/>
      <c r="R31" s="209"/>
      <c r="S31" s="1554"/>
    </row>
    <row r="32" spans="1:19" s="11" customFormat="1" x14ac:dyDescent="0.2">
      <c r="A32" s="1544">
        <f t="shared" si="0"/>
        <v>22</v>
      </c>
      <c r="B32" s="1495" t="s">
        <v>52</v>
      </c>
      <c r="C32" s="1563">
        <f>C14+C20</f>
        <v>56174</v>
      </c>
      <c r="D32" s="1563">
        <f>D14+D20</f>
        <v>47596</v>
      </c>
      <c r="E32" s="1563">
        <f>E14+E20</f>
        <v>103770</v>
      </c>
      <c r="F32" s="1563">
        <f t="shared" ref="F32:G32" si="8">F14+F20</f>
        <v>69328</v>
      </c>
      <c r="G32" s="1563">
        <f t="shared" si="8"/>
        <v>2544</v>
      </c>
      <c r="H32" s="1497">
        <f t="shared" si="5"/>
        <v>125502</v>
      </c>
      <c r="I32" s="1497">
        <f t="shared" si="5"/>
        <v>50140</v>
      </c>
      <c r="J32" s="1518">
        <f t="shared" si="6"/>
        <v>175642</v>
      </c>
      <c r="K32" s="96" t="s">
        <v>455</v>
      </c>
      <c r="L32" s="1506"/>
      <c r="M32" s="1506"/>
      <c r="N32" s="1506"/>
      <c r="O32" s="1512"/>
      <c r="P32" s="1512"/>
      <c r="Q32" s="1512"/>
      <c r="R32" s="1512"/>
      <c r="S32" s="1556"/>
    </row>
    <row r="33" spans="1:19" x14ac:dyDescent="0.2">
      <c r="A33" s="1544">
        <f t="shared" si="0"/>
        <v>23</v>
      </c>
      <c r="B33" s="1525" t="s">
        <v>67</v>
      </c>
      <c r="C33" s="1511"/>
      <c r="D33" s="1511"/>
      <c r="E33" s="1511"/>
      <c r="F33" s="1511"/>
      <c r="G33" s="1511"/>
      <c r="H33" s="203"/>
      <c r="I33" s="1511"/>
      <c r="J33" s="349"/>
      <c r="K33" s="1540" t="s">
        <v>68</v>
      </c>
      <c r="L33" s="1523">
        <f>SUM(L27:L32)</f>
        <v>6000</v>
      </c>
      <c r="M33" s="1523">
        <f>SUM(M27:M32)</f>
        <v>0</v>
      </c>
      <c r="N33" s="1523">
        <f>SUM(N27:N31)</f>
        <v>6000</v>
      </c>
      <c r="O33" s="1523">
        <f t="shared" ref="O33:S33" si="9">SUM(O27:O31)</f>
        <v>0</v>
      </c>
      <c r="P33" s="1523">
        <f t="shared" si="9"/>
        <v>0</v>
      </c>
      <c r="Q33" s="1523">
        <f t="shared" si="9"/>
        <v>6000</v>
      </c>
      <c r="R33" s="1523">
        <f t="shared" si="9"/>
        <v>0</v>
      </c>
      <c r="S33" s="1551">
        <f t="shared" si="9"/>
        <v>6000</v>
      </c>
    </row>
    <row r="34" spans="1:19" x14ac:dyDescent="0.2">
      <c r="A34" s="1544">
        <f t="shared" si="0"/>
        <v>24</v>
      </c>
      <c r="B34" s="129" t="s">
        <v>51</v>
      </c>
      <c r="C34" s="127">
        <f>SUM(C32:C33)</f>
        <v>56174</v>
      </c>
      <c r="D34" s="127">
        <f>SUM(D32:D33)</f>
        <v>47596</v>
      </c>
      <c r="E34" s="127">
        <f>SUM(C34:D34)</f>
        <v>103770</v>
      </c>
      <c r="F34" s="127">
        <f>F32+F33</f>
        <v>69328</v>
      </c>
      <c r="G34" s="127">
        <f>G32+G33</f>
        <v>2544</v>
      </c>
      <c r="H34" s="1494">
        <f>C34+F34</f>
        <v>125502</v>
      </c>
      <c r="I34" s="1494">
        <f>D34+G34</f>
        <v>50140</v>
      </c>
      <c r="J34" s="375">
        <f t="shared" si="6"/>
        <v>175642</v>
      </c>
      <c r="K34" s="127" t="s">
        <v>69</v>
      </c>
      <c r="L34" s="1510">
        <f>L24+L33</f>
        <v>428117</v>
      </c>
      <c r="M34" s="1510">
        <f>M24+M33</f>
        <v>99942</v>
      </c>
      <c r="N34" s="1510">
        <f>N24+N33</f>
        <v>528059</v>
      </c>
      <c r="O34" s="1510">
        <f t="shared" ref="O34:S34" si="10">O24+O33</f>
        <v>111055</v>
      </c>
      <c r="P34" s="1510">
        <f t="shared" si="10"/>
        <v>2544</v>
      </c>
      <c r="Q34" s="1510">
        <f t="shared" si="10"/>
        <v>539172</v>
      </c>
      <c r="R34" s="1510">
        <f t="shared" si="10"/>
        <v>102486</v>
      </c>
      <c r="S34" s="1529">
        <f t="shared" si="10"/>
        <v>641658</v>
      </c>
    </row>
    <row r="35" spans="1:19" x14ac:dyDescent="0.2">
      <c r="A35" s="1544">
        <f t="shared" si="0"/>
        <v>25</v>
      </c>
      <c r="B35" s="1492"/>
      <c r="C35" s="125"/>
      <c r="D35" s="125"/>
      <c r="E35" s="125"/>
      <c r="F35" s="125"/>
      <c r="G35" s="125"/>
      <c r="H35" s="125"/>
      <c r="I35" s="125"/>
      <c r="J35" s="1552"/>
      <c r="K35" s="125"/>
      <c r="L35" s="1506"/>
      <c r="M35" s="1506"/>
      <c r="N35" s="1506"/>
      <c r="O35" s="209"/>
      <c r="P35" s="209"/>
      <c r="Q35" s="209"/>
      <c r="R35" s="209"/>
      <c r="S35" s="1554"/>
    </row>
    <row r="36" spans="1:19" x14ac:dyDescent="0.2">
      <c r="A36" s="1544">
        <f t="shared" si="0"/>
        <v>26</v>
      </c>
      <c r="B36" s="1492"/>
      <c r="C36" s="125"/>
      <c r="D36" s="125"/>
      <c r="E36" s="125"/>
      <c r="F36" s="125"/>
      <c r="G36" s="125"/>
      <c r="H36" s="125"/>
      <c r="I36" s="125"/>
      <c r="J36" s="1552"/>
      <c r="K36" s="1541"/>
      <c r="L36" s="1509"/>
      <c r="M36" s="1509"/>
      <c r="N36" s="1509"/>
      <c r="O36" s="209"/>
      <c r="P36" s="209"/>
      <c r="Q36" s="209"/>
      <c r="R36" s="209"/>
      <c r="S36" s="1554"/>
    </row>
    <row r="37" spans="1:19" s="11" customFormat="1" x14ac:dyDescent="0.2">
      <c r="A37" s="1544">
        <f t="shared" si="0"/>
        <v>27</v>
      </c>
      <c r="B37" s="1492"/>
      <c r="C37" s="125"/>
      <c r="D37" s="125"/>
      <c r="E37" s="125"/>
      <c r="F37" s="125"/>
      <c r="G37" s="125"/>
      <c r="H37" s="125"/>
      <c r="I37" s="125"/>
      <c r="J37" s="1552"/>
      <c r="K37" s="125"/>
      <c r="L37" s="1506"/>
      <c r="M37" s="1506"/>
      <c r="N37" s="1506"/>
      <c r="O37" s="1512"/>
      <c r="P37" s="1512"/>
      <c r="Q37" s="1512"/>
      <c r="R37" s="1512"/>
      <c r="S37" s="1556"/>
    </row>
    <row r="38" spans="1:19" s="11" customFormat="1" x14ac:dyDescent="0.2">
      <c r="A38" s="1544">
        <f t="shared" si="0"/>
        <v>28</v>
      </c>
      <c r="B38" s="1499" t="s">
        <v>53</v>
      </c>
      <c r="C38" s="1499"/>
      <c r="D38" s="1499"/>
      <c r="E38" s="1499"/>
      <c r="F38" s="1499"/>
      <c r="G38" s="1499"/>
      <c r="H38" s="1499"/>
      <c r="I38" s="1499"/>
      <c r="J38" s="374"/>
      <c r="K38" s="1499" t="s">
        <v>33</v>
      </c>
      <c r="L38" s="1510"/>
      <c r="M38" s="1510"/>
      <c r="N38" s="1510"/>
      <c r="O38" s="1512"/>
      <c r="P38" s="1512"/>
      <c r="Q38" s="1512"/>
      <c r="R38" s="1512"/>
      <c r="S38" s="1556"/>
    </row>
    <row r="39" spans="1:19" s="11" customFormat="1" x14ac:dyDescent="0.2">
      <c r="A39" s="1544">
        <f t="shared" si="0"/>
        <v>29</v>
      </c>
      <c r="B39" s="1500" t="s">
        <v>710</v>
      </c>
      <c r="C39" s="1499"/>
      <c r="D39" s="1499"/>
      <c r="E39" s="1499"/>
      <c r="F39" s="1499"/>
      <c r="G39" s="1499"/>
      <c r="H39" s="1499"/>
      <c r="I39" s="1499"/>
      <c r="J39" s="374"/>
      <c r="K39" s="1500" t="s">
        <v>4</v>
      </c>
      <c r="L39" s="1510"/>
      <c r="M39" s="1512"/>
      <c r="N39" s="1512"/>
      <c r="O39" s="1512"/>
      <c r="P39" s="1512"/>
      <c r="Q39" s="1512"/>
      <c r="R39" s="1512"/>
      <c r="S39" s="1556"/>
    </row>
    <row r="40" spans="1:19" s="11" customFormat="1" x14ac:dyDescent="0.2">
      <c r="A40" s="1544">
        <f t="shared" si="0"/>
        <v>30</v>
      </c>
      <c r="B40" s="124" t="s">
        <v>996</v>
      </c>
      <c r="C40" s="1499"/>
      <c r="D40" s="1499"/>
      <c r="E40" s="1499"/>
      <c r="F40" s="1499"/>
      <c r="G40" s="1499"/>
      <c r="H40" s="1499"/>
      <c r="I40" s="1499"/>
      <c r="J40" s="374"/>
      <c r="K40" s="124" t="s">
        <v>3</v>
      </c>
      <c r="L40" s="1510"/>
      <c r="M40" s="1510"/>
      <c r="N40" s="1510"/>
      <c r="O40" s="1512"/>
      <c r="P40" s="1512"/>
      <c r="Q40" s="1512"/>
      <c r="R40" s="1512"/>
      <c r="S40" s="1556"/>
    </row>
    <row r="41" spans="1:19" x14ac:dyDescent="0.2">
      <c r="A41" s="1544">
        <f t="shared" si="0"/>
        <v>31</v>
      </c>
      <c r="B41" s="96" t="s">
        <v>712</v>
      </c>
      <c r="C41" s="1543"/>
      <c r="D41" s="1543"/>
      <c r="E41" s="1543"/>
      <c r="F41" s="1543"/>
      <c r="G41" s="1543"/>
      <c r="H41" s="1543"/>
      <c r="I41" s="1543"/>
      <c r="J41" s="1553"/>
      <c r="K41" s="96" t="s">
        <v>5</v>
      </c>
      <c r="L41" s="1510"/>
      <c r="M41" s="1510"/>
      <c r="N41" s="1510"/>
      <c r="O41" s="209"/>
      <c r="P41" s="209"/>
      <c r="Q41" s="209"/>
      <c r="R41" s="209"/>
      <c r="S41" s="1554"/>
    </row>
    <row r="42" spans="1:19" x14ac:dyDescent="0.2">
      <c r="A42" s="1544">
        <f t="shared" si="0"/>
        <v>32</v>
      </c>
      <c r="B42" s="96" t="s">
        <v>215</v>
      </c>
      <c r="C42" s="96"/>
      <c r="D42" s="96"/>
      <c r="E42" s="96"/>
      <c r="F42" s="96"/>
      <c r="G42" s="96"/>
      <c r="H42" s="96"/>
      <c r="I42" s="96"/>
      <c r="J42" s="336"/>
      <c r="K42" s="96" t="s">
        <v>6</v>
      </c>
      <c r="L42" s="1510"/>
      <c r="M42" s="1510"/>
      <c r="N42" s="1510"/>
      <c r="O42" s="209"/>
      <c r="P42" s="209"/>
      <c r="Q42" s="209"/>
      <c r="R42" s="209"/>
      <c r="S42" s="1554"/>
    </row>
    <row r="43" spans="1:19" x14ac:dyDescent="0.2">
      <c r="A43" s="1544">
        <f t="shared" si="0"/>
        <v>33</v>
      </c>
      <c r="B43" s="1505" t="s">
        <v>280</v>
      </c>
      <c r="C43" s="96">
        <v>1501</v>
      </c>
      <c r="D43" s="96"/>
      <c r="E43" s="96">
        <f>C43+D43</f>
        <v>1501</v>
      </c>
      <c r="F43" s="96"/>
      <c r="G43" s="96"/>
      <c r="H43" s="96">
        <f>C43+F43</f>
        <v>1501</v>
      </c>
      <c r="I43" s="96">
        <f>D43+G43</f>
        <v>0</v>
      </c>
      <c r="J43" s="336">
        <f>H43+I43</f>
        <v>1501</v>
      </c>
      <c r="K43" s="96" t="s">
        <v>7</v>
      </c>
      <c r="L43" s="1510"/>
      <c r="M43" s="1510"/>
      <c r="N43" s="1510"/>
      <c r="O43" s="209"/>
      <c r="P43" s="209"/>
      <c r="Q43" s="209"/>
      <c r="R43" s="209"/>
      <c r="S43" s="1554"/>
    </row>
    <row r="44" spans="1:19" x14ac:dyDescent="0.2">
      <c r="A44" s="1544">
        <f t="shared" si="0"/>
        <v>34</v>
      </c>
      <c r="B44" s="1505" t="s">
        <v>993</v>
      </c>
      <c r="C44" s="96"/>
      <c r="D44" s="96"/>
      <c r="E44" s="96"/>
      <c r="F44" s="96"/>
      <c r="G44" s="96"/>
      <c r="H44" s="96"/>
      <c r="I44" s="96"/>
      <c r="J44" s="336"/>
      <c r="K44" s="96"/>
      <c r="L44" s="1510"/>
      <c r="M44" s="1510"/>
      <c r="N44" s="1510"/>
      <c r="O44" s="209"/>
      <c r="P44" s="209"/>
      <c r="Q44" s="209"/>
      <c r="R44" s="209"/>
      <c r="S44" s="1554"/>
    </row>
    <row r="45" spans="1:19" x14ac:dyDescent="0.2">
      <c r="A45" s="1544">
        <f t="shared" si="0"/>
        <v>35</v>
      </c>
      <c r="B45" s="96" t="s">
        <v>713</v>
      </c>
      <c r="C45" s="96"/>
      <c r="D45" s="96"/>
      <c r="E45" s="96"/>
      <c r="F45" s="96"/>
      <c r="G45" s="96"/>
      <c r="H45" s="96"/>
      <c r="I45" s="96"/>
      <c r="J45" s="336"/>
      <c r="K45" s="96" t="s">
        <v>8</v>
      </c>
      <c r="L45" s="1510"/>
      <c r="M45" s="1510"/>
      <c r="N45" s="1506"/>
      <c r="O45" s="209"/>
      <c r="P45" s="209"/>
      <c r="Q45" s="209"/>
      <c r="R45" s="209"/>
      <c r="S45" s="1554"/>
    </row>
    <row r="46" spans="1:19" x14ac:dyDescent="0.2">
      <c r="A46" s="1544">
        <f t="shared" si="0"/>
        <v>36</v>
      </c>
      <c r="B46" s="96" t="s">
        <v>714</v>
      </c>
      <c r="C46" s="1499"/>
      <c r="D46" s="1499"/>
      <c r="E46" s="1499"/>
      <c r="F46" s="1499"/>
      <c r="G46" s="1499"/>
      <c r="H46" s="1499"/>
      <c r="I46" s="1499"/>
      <c r="J46" s="374"/>
      <c r="K46" s="96" t="s">
        <v>9</v>
      </c>
      <c r="L46" s="1510"/>
      <c r="M46" s="1510"/>
      <c r="N46" s="1506"/>
      <c r="O46" s="209"/>
      <c r="P46" s="209"/>
      <c r="Q46" s="209"/>
      <c r="R46" s="209"/>
      <c r="S46" s="1554"/>
    </row>
    <row r="47" spans="1:19" x14ac:dyDescent="0.2">
      <c r="A47" s="1544">
        <f t="shared" si="0"/>
        <v>37</v>
      </c>
      <c r="B47" s="96" t="s">
        <v>219</v>
      </c>
      <c r="C47" s="96"/>
      <c r="D47" s="96"/>
      <c r="E47" s="96"/>
      <c r="F47" s="96"/>
      <c r="G47" s="96"/>
      <c r="H47" s="96"/>
      <c r="I47" s="96"/>
      <c r="J47" s="336"/>
      <c r="K47" s="96" t="s">
        <v>10</v>
      </c>
      <c r="L47" s="1506"/>
      <c r="M47" s="1506"/>
      <c r="N47" s="1506"/>
      <c r="O47" s="209"/>
      <c r="P47" s="209"/>
      <c r="Q47" s="209"/>
      <c r="R47" s="209"/>
      <c r="S47" s="1554"/>
    </row>
    <row r="48" spans="1:19" x14ac:dyDescent="0.2">
      <c r="A48" s="1544">
        <f t="shared" si="0"/>
        <v>38</v>
      </c>
      <c r="B48" s="1505" t="s">
        <v>220</v>
      </c>
      <c r="C48" s="96">
        <f>L24-(C34+C43)</f>
        <v>364442</v>
      </c>
      <c r="D48" s="96">
        <f>M24-(D34+D43)</f>
        <v>52346</v>
      </c>
      <c r="E48" s="96">
        <f>N24-(E34+E43)</f>
        <v>416788</v>
      </c>
      <c r="F48" s="96">
        <f t="shared" ref="F48:J48" si="11">O24-(F34+F43)</f>
        <v>41727</v>
      </c>
      <c r="G48" s="96">
        <f t="shared" si="11"/>
        <v>0</v>
      </c>
      <c r="H48" s="96">
        <f t="shared" si="11"/>
        <v>406169</v>
      </c>
      <c r="I48" s="96">
        <f t="shared" si="11"/>
        <v>52346</v>
      </c>
      <c r="J48" s="336">
        <f t="shared" si="11"/>
        <v>458515</v>
      </c>
      <c r="K48" s="96" t="s">
        <v>11</v>
      </c>
      <c r="L48" s="1506"/>
      <c r="M48" s="1506"/>
      <c r="N48" s="1506"/>
      <c r="O48" s="209"/>
      <c r="P48" s="209"/>
      <c r="Q48" s="209"/>
      <c r="R48" s="209"/>
      <c r="S48" s="1554"/>
    </row>
    <row r="49" spans="1:19" x14ac:dyDescent="0.2">
      <c r="A49" s="1544">
        <f t="shared" si="0"/>
        <v>39</v>
      </c>
      <c r="B49" s="1505" t="s">
        <v>221</v>
      </c>
      <c r="C49" s="96">
        <f>L33-C33</f>
        <v>6000</v>
      </c>
      <c r="D49" s="96">
        <f>M33-D33</f>
        <v>0</v>
      </c>
      <c r="E49" s="96">
        <f>N33-E33</f>
        <v>6000</v>
      </c>
      <c r="F49" s="96">
        <f t="shared" ref="F49:J49" si="12">O33-F33</f>
        <v>0</v>
      </c>
      <c r="G49" s="96">
        <f t="shared" si="12"/>
        <v>0</v>
      </c>
      <c r="H49" s="96">
        <f t="shared" si="12"/>
        <v>6000</v>
      </c>
      <c r="I49" s="96">
        <f t="shared" si="12"/>
        <v>0</v>
      </c>
      <c r="J49" s="336">
        <f t="shared" si="12"/>
        <v>6000</v>
      </c>
      <c r="K49" s="96" t="s">
        <v>12</v>
      </c>
      <c r="L49" s="1506"/>
      <c r="M49" s="1506"/>
      <c r="N49" s="1506"/>
      <c r="O49" s="209"/>
      <c r="P49" s="209"/>
      <c r="Q49" s="209"/>
      <c r="R49" s="209"/>
      <c r="S49" s="1554"/>
    </row>
    <row r="50" spans="1:19" x14ac:dyDescent="0.2">
      <c r="A50" s="1544">
        <f t="shared" si="0"/>
        <v>40</v>
      </c>
      <c r="B50" s="96" t="s">
        <v>1</v>
      </c>
      <c r="C50" s="96"/>
      <c r="D50" s="96"/>
      <c r="E50" s="96"/>
      <c r="F50" s="96"/>
      <c r="G50" s="96"/>
      <c r="H50" s="96"/>
      <c r="I50" s="96"/>
      <c r="J50" s="336"/>
      <c r="K50" s="96" t="s">
        <v>13</v>
      </c>
      <c r="L50" s="1506"/>
      <c r="M50" s="1506"/>
      <c r="N50" s="1506"/>
      <c r="O50" s="209"/>
      <c r="P50" s="209"/>
      <c r="Q50" s="209"/>
      <c r="R50" s="209"/>
      <c r="S50" s="1554"/>
    </row>
    <row r="51" spans="1:19" x14ac:dyDescent="0.2">
      <c r="A51" s="1544">
        <f t="shared" si="0"/>
        <v>41</v>
      </c>
      <c r="B51" s="96"/>
      <c r="C51" s="96"/>
      <c r="D51" s="96"/>
      <c r="E51" s="96"/>
      <c r="F51" s="96"/>
      <c r="G51" s="96"/>
      <c r="H51" s="96"/>
      <c r="I51" s="96"/>
      <c r="J51" s="336"/>
      <c r="K51" s="96" t="s">
        <v>14</v>
      </c>
      <c r="L51" s="1506"/>
      <c r="M51" s="1506"/>
      <c r="N51" s="1506"/>
      <c r="O51" s="209"/>
      <c r="P51" s="209"/>
      <c r="Q51" s="209"/>
      <c r="R51" s="209"/>
      <c r="S51" s="1554"/>
    </row>
    <row r="52" spans="1:19" x14ac:dyDescent="0.2">
      <c r="A52" s="1544">
        <f t="shared" si="0"/>
        <v>42</v>
      </c>
      <c r="B52" s="96"/>
      <c r="C52" s="96"/>
      <c r="D52" s="96"/>
      <c r="E52" s="96"/>
      <c r="F52" s="96"/>
      <c r="G52" s="96"/>
      <c r="H52" s="96"/>
      <c r="I52" s="96"/>
      <c r="J52" s="336"/>
      <c r="K52" s="96" t="s">
        <v>15</v>
      </c>
      <c r="L52" s="1506"/>
      <c r="M52" s="1506"/>
      <c r="N52" s="1506"/>
      <c r="O52" s="209"/>
      <c r="P52" s="209"/>
      <c r="Q52" s="209"/>
      <c r="R52" s="209"/>
      <c r="S52" s="1554"/>
    </row>
    <row r="53" spans="1:19" ht="12" thickBot="1" x14ac:dyDescent="0.25">
      <c r="A53" s="1544">
        <f t="shared" si="0"/>
        <v>43</v>
      </c>
      <c r="B53" s="129" t="s">
        <v>463</v>
      </c>
      <c r="C53" s="1499">
        <f>SUM(C39:C51)</f>
        <v>371943</v>
      </c>
      <c r="D53" s="1499">
        <f>SUM(D39:D51)</f>
        <v>52346</v>
      </c>
      <c r="E53" s="1499">
        <f>SUM(E39:E51)</f>
        <v>424289</v>
      </c>
      <c r="F53" s="1499">
        <f t="shared" ref="F53:J53" si="13">SUM(F39:F51)</f>
        <v>41727</v>
      </c>
      <c r="G53" s="1499">
        <f t="shared" si="13"/>
        <v>0</v>
      </c>
      <c r="H53" s="1499">
        <f t="shared" si="13"/>
        <v>413670</v>
      </c>
      <c r="I53" s="1499">
        <f t="shared" si="13"/>
        <v>52346</v>
      </c>
      <c r="J53" s="374">
        <f t="shared" si="13"/>
        <v>466016</v>
      </c>
      <c r="K53" s="1499" t="s">
        <v>456</v>
      </c>
      <c r="L53" s="1510">
        <f>SUM(L39:L52)</f>
        <v>0</v>
      </c>
      <c r="M53" s="1510">
        <f>SUM(M39:M52)</f>
        <v>0</v>
      </c>
      <c r="N53" s="1510">
        <f>SUM(N39:N52)</f>
        <v>0</v>
      </c>
      <c r="O53" s="209"/>
      <c r="P53" s="209"/>
      <c r="Q53" s="209"/>
      <c r="R53" s="209"/>
      <c r="S53" s="1554"/>
    </row>
    <row r="54" spans="1:19" ht="12" thickBot="1" x14ac:dyDescent="0.25">
      <c r="A54" s="710">
        <f t="shared" si="0"/>
        <v>44</v>
      </c>
      <c r="B54" s="1520" t="s">
        <v>458</v>
      </c>
      <c r="C54" s="700">
        <f>C34+C53</f>
        <v>428117</v>
      </c>
      <c r="D54" s="700">
        <f>D34+D53</f>
        <v>99942</v>
      </c>
      <c r="E54" s="700">
        <f>E34+E53</f>
        <v>528059</v>
      </c>
      <c r="F54" s="700">
        <f t="shared" ref="F54:J54" si="14">F34+F53</f>
        <v>111055</v>
      </c>
      <c r="G54" s="700">
        <f t="shared" si="14"/>
        <v>2544</v>
      </c>
      <c r="H54" s="700">
        <f t="shared" si="14"/>
        <v>539172</v>
      </c>
      <c r="I54" s="700">
        <f t="shared" si="14"/>
        <v>102486</v>
      </c>
      <c r="J54" s="700">
        <f t="shared" si="14"/>
        <v>641658</v>
      </c>
      <c r="K54" s="1520" t="s">
        <v>457</v>
      </c>
      <c r="L54" s="708">
        <f>L34+L53</f>
        <v>428117</v>
      </c>
      <c r="M54" s="708">
        <f>M34+M53</f>
        <v>99942</v>
      </c>
      <c r="N54" s="708">
        <f>N34+N53</f>
        <v>528059</v>
      </c>
      <c r="O54" s="708">
        <f t="shared" ref="O54:S54" si="15">O34+O53</f>
        <v>111055</v>
      </c>
      <c r="P54" s="708">
        <f t="shared" si="15"/>
        <v>2544</v>
      </c>
      <c r="Q54" s="708">
        <f t="shared" si="15"/>
        <v>539172</v>
      </c>
      <c r="R54" s="708">
        <f t="shared" si="15"/>
        <v>102486</v>
      </c>
      <c r="S54" s="1561">
        <f t="shared" si="15"/>
        <v>641658</v>
      </c>
    </row>
    <row r="55" spans="1:19" x14ac:dyDescent="0.2">
      <c r="B55" s="131"/>
      <c r="C55" s="130"/>
      <c r="D55" s="130"/>
      <c r="E55" s="130"/>
      <c r="F55" s="130"/>
      <c r="G55" s="130"/>
      <c r="H55" s="130"/>
      <c r="I55" s="130"/>
      <c r="J55" s="130"/>
      <c r="K55" s="130"/>
      <c r="L55" s="134"/>
      <c r="M55" s="134"/>
      <c r="N55" s="134"/>
    </row>
  </sheetData>
  <sheetProtection selectLockedCells="1" selectUnlockedCells="1"/>
  <mergeCells count="16">
    <mergeCell ref="B1:S1"/>
    <mergeCell ref="B7:S7"/>
    <mergeCell ref="O9:P9"/>
    <mergeCell ref="Q9:S9"/>
    <mergeCell ref="L8:S8"/>
    <mergeCell ref="A4:S4"/>
    <mergeCell ref="A5:S5"/>
    <mergeCell ref="A6:S6"/>
    <mergeCell ref="A8:A10"/>
    <mergeCell ref="B8:B9"/>
    <mergeCell ref="C9:E9"/>
    <mergeCell ref="L9:N9"/>
    <mergeCell ref="F9:G9"/>
    <mergeCell ref="H9:J9"/>
    <mergeCell ref="C8:J8"/>
    <mergeCell ref="K8:K9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85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D46"/>
  <sheetViews>
    <sheetView topLeftCell="A22" zoomScale="120" workbookViewId="0">
      <selection activeCell="J53" sqref="J53"/>
    </sheetView>
  </sheetViews>
  <sheetFormatPr defaultColWidth="9.140625" defaultRowHeight="11.25" x14ac:dyDescent="0.2"/>
  <cols>
    <col min="1" max="1" width="4.85546875" style="119" customWidth="1"/>
    <col min="2" max="2" width="41.85546875" style="119" customWidth="1"/>
    <col min="3" max="3" width="10.140625" style="120" customWidth="1"/>
    <col min="4" max="4" width="11.140625" style="120" customWidth="1"/>
    <col min="5" max="10" width="11.28515625" style="120" customWidth="1"/>
    <col min="11" max="11" width="32.42578125" style="120" customWidth="1"/>
    <col min="12" max="12" width="11.5703125" style="120" customWidth="1"/>
    <col min="13" max="13" width="14.7109375" style="120" customWidth="1"/>
    <col min="14" max="14" width="14.5703125" style="120" customWidth="1"/>
    <col min="15" max="30" width="9.140625" style="119"/>
    <col min="31" max="16384" width="9.140625" style="10"/>
  </cols>
  <sheetData>
    <row r="1" spans="1:30" ht="12.75" customHeight="1" x14ac:dyDescent="0.2">
      <c r="B1" s="1214" t="s">
        <v>1283</v>
      </c>
      <c r="C1" s="1214"/>
      <c r="D1" s="1214"/>
      <c r="E1" s="1214"/>
      <c r="F1" s="1214"/>
      <c r="G1" s="1214"/>
      <c r="H1" s="1214"/>
      <c r="I1" s="1214"/>
      <c r="J1" s="1214"/>
      <c r="K1" s="1214"/>
      <c r="L1" s="1214"/>
      <c r="M1" s="1214"/>
      <c r="N1" s="1214"/>
      <c r="O1" s="542"/>
    </row>
    <row r="2" spans="1:30" x14ac:dyDescent="0.2">
      <c r="B2" s="415"/>
      <c r="N2" s="121"/>
    </row>
    <row r="3" spans="1:30" s="99" customFormat="1" x14ac:dyDescent="0.2">
      <c r="A3" s="122"/>
      <c r="B3" s="1215" t="s">
        <v>54</v>
      </c>
      <c r="C3" s="1215"/>
      <c r="D3" s="1215"/>
      <c r="E3" s="1215"/>
      <c r="F3" s="1215"/>
      <c r="G3" s="1215"/>
      <c r="H3" s="1215"/>
      <c r="I3" s="1215"/>
      <c r="J3" s="1215"/>
      <c r="K3" s="1215"/>
      <c r="L3" s="1215"/>
      <c r="M3" s="1215"/>
      <c r="N3" s="1215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</row>
    <row r="4" spans="1:30" s="99" customFormat="1" x14ac:dyDescent="0.2">
      <c r="A4" s="122"/>
      <c r="B4" s="1215" t="s">
        <v>1098</v>
      </c>
      <c r="C4" s="1215"/>
      <c r="D4" s="1215"/>
      <c r="E4" s="1215"/>
      <c r="F4" s="1215"/>
      <c r="G4" s="1215"/>
      <c r="H4" s="1215"/>
      <c r="I4" s="1215"/>
      <c r="J4" s="1215"/>
      <c r="K4" s="1215"/>
      <c r="L4" s="1215"/>
      <c r="M4" s="1215"/>
      <c r="N4" s="1215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</row>
    <row r="5" spans="1:30" s="99" customFormat="1" ht="12.75" customHeight="1" x14ac:dyDescent="0.2">
      <c r="A5" s="1233" t="s">
        <v>316</v>
      </c>
      <c r="B5" s="1233"/>
      <c r="C5" s="1233"/>
      <c r="D5" s="1233"/>
      <c r="E5" s="1233"/>
      <c r="F5" s="1233"/>
      <c r="G5" s="1233"/>
      <c r="H5" s="1233"/>
      <c r="I5" s="1233"/>
      <c r="J5" s="1233"/>
      <c r="K5" s="1233"/>
      <c r="L5" s="1233"/>
      <c r="M5" s="1233"/>
      <c r="N5" s="1233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</row>
    <row r="6" spans="1:30" s="99" customFormat="1" ht="12.75" customHeight="1" x14ac:dyDescent="0.2">
      <c r="A6" s="1234" t="s">
        <v>56</v>
      </c>
      <c r="B6" s="1236" t="s">
        <v>57</v>
      </c>
      <c r="C6" s="1237" t="s">
        <v>58</v>
      </c>
      <c r="D6" s="1237"/>
      <c r="E6" s="1238"/>
      <c r="F6" s="755"/>
      <c r="G6" s="755"/>
      <c r="H6" s="755"/>
      <c r="I6" s="755"/>
      <c r="J6" s="755"/>
      <c r="K6" s="1239" t="s">
        <v>59</v>
      </c>
      <c r="L6" s="1240" t="s">
        <v>60</v>
      </c>
      <c r="M6" s="1241"/>
      <c r="N6" s="1241"/>
      <c r="O6" s="755"/>
      <c r="P6" s="755"/>
      <c r="Q6" s="755"/>
      <c r="R6" s="755"/>
      <c r="S6" s="755"/>
      <c r="T6" s="122"/>
      <c r="U6" s="122"/>
      <c r="V6" s="122"/>
      <c r="W6" s="122"/>
      <c r="X6" s="122"/>
    </row>
    <row r="7" spans="1:30" s="99" customFormat="1" ht="12.75" customHeight="1" x14ac:dyDescent="0.2">
      <c r="A7" s="1234"/>
      <c r="B7" s="1236"/>
      <c r="C7" s="1231" t="s">
        <v>1099</v>
      </c>
      <c r="D7" s="1231"/>
      <c r="E7" s="1232"/>
      <c r="F7" s="1230" t="s">
        <v>1294</v>
      </c>
      <c r="G7" s="1230"/>
      <c r="H7" s="1230" t="s">
        <v>1292</v>
      </c>
      <c r="I7" s="1230"/>
      <c r="J7" s="1230"/>
      <c r="K7" s="1239"/>
      <c r="L7" s="1231" t="s">
        <v>1099</v>
      </c>
      <c r="M7" s="1231"/>
      <c r="N7" s="1232"/>
      <c r="O7" s="1230" t="s">
        <v>1294</v>
      </c>
      <c r="P7" s="1230"/>
      <c r="Q7" s="1230" t="s">
        <v>1292</v>
      </c>
      <c r="R7" s="1230"/>
      <c r="S7" s="1230"/>
      <c r="T7" s="122"/>
      <c r="U7" s="122"/>
      <c r="V7" s="122"/>
      <c r="W7" s="122"/>
      <c r="X7" s="122"/>
    </row>
    <row r="8" spans="1:30" s="100" customFormat="1" ht="36.6" customHeight="1" x14ac:dyDescent="0.2">
      <c r="A8" s="1235"/>
      <c r="B8" s="758" t="s">
        <v>61</v>
      </c>
      <c r="C8" s="759" t="s">
        <v>62</v>
      </c>
      <c r="D8" s="759" t="s">
        <v>63</v>
      </c>
      <c r="E8" s="760" t="s">
        <v>64</v>
      </c>
      <c r="F8" s="761" t="s">
        <v>62</v>
      </c>
      <c r="G8" s="761" t="s">
        <v>63</v>
      </c>
      <c r="H8" s="761" t="s">
        <v>62</v>
      </c>
      <c r="I8" s="761" t="s">
        <v>63</v>
      </c>
      <c r="J8" s="761" t="s">
        <v>64</v>
      </c>
      <c r="K8" s="762" t="s">
        <v>65</v>
      </c>
      <c r="L8" s="759" t="s">
        <v>62</v>
      </c>
      <c r="M8" s="759" t="s">
        <v>63</v>
      </c>
      <c r="N8" s="759" t="s">
        <v>64</v>
      </c>
      <c r="O8" s="761" t="s">
        <v>62</v>
      </c>
      <c r="P8" s="761" t="s">
        <v>63</v>
      </c>
      <c r="Q8" s="761" t="s">
        <v>62</v>
      </c>
      <c r="R8" s="761" t="s">
        <v>63</v>
      </c>
      <c r="S8" s="761" t="s">
        <v>64</v>
      </c>
      <c r="T8" s="132"/>
      <c r="U8" s="132"/>
      <c r="V8" s="132"/>
      <c r="W8" s="132"/>
      <c r="X8" s="132"/>
    </row>
    <row r="9" spans="1:30" ht="11.45" customHeight="1" x14ac:dyDescent="0.2">
      <c r="A9" s="715">
        <v>1</v>
      </c>
      <c r="B9" s="763" t="s">
        <v>24</v>
      </c>
      <c r="C9" s="737"/>
      <c r="D9" s="737"/>
      <c r="E9" s="737"/>
      <c r="F9" s="737"/>
      <c r="G9" s="737"/>
      <c r="H9" s="737"/>
      <c r="I9" s="737"/>
      <c r="J9" s="737"/>
      <c r="K9" s="736" t="s">
        <v>25</v>
      </c>
      <c r="L9" s="737"/>
      <c r="M9" s="737"/>
      <c r="N9" s="730"/>
      <c r="O9" s="724"/>
      <c r="P9" s="724"/>
      <c r="Q9" s="724"/>
      <c r="R9" s="724"/>
      <c r="S9" s="724"/>
      <c r="Y9" s="10"/>
      <c r="Z9" s="10"/>
      <c r="AA9" s="10"/>
      <c r="AB9" s="10"/>
      <c r="AC9" s="10"/>
      <c r="AD9" s="10"/>
    </row>
    <row r="10" spans="1:30" x14ac:dyDescent="0.2">
      <c r="A10" s="715">
        <f>A9+1</f>
        <v>2</v>
      </c>
      <c r="B10" s="764" t="s">
        <v>35</v>
      </c>
      <c r="C10" s="727"/>
      <c r="D10" s="727"/>
      <c r="E10" s="727">
        <f>SUM(C10:D10)</f>
        <v>0</v>
      </c>
      <c r="F10" s="727"/>
      <c r="G10" s="727"/>
      <c r="H10" s="727"/>
      <c r="I10" s="727"/>
      <c r="J10" s="727"/>
      <c r="K10" s="727" t="s">
        <v>26</v>
      </c>
      <c r="L10" s="727">
        <f>Össz.önkor.mérleg.!L10</f>
        <v>577178</v>
      </c>
      <c r="M10" s="727">
        <f>Össz.önkor.mérleg.!M10</f>
        <v>379706</v>
      </c>
      <c r="N10" s="727">
        <f>Össz.önkor.mérleg.!N10</f>
        <v>956884</v>
      </c>
      <c r="O10" s="724"/>
      <c r="P10" s="724"/>
      <c r="Q10" s="724"/>
      <c r="R10" s="724"/>
      <c r="S10" s="724"/>
      <c r="Y10" s="10"/>
      <c r="Z10" s="10"/>
      <c r="AA10" s="10"/>
      <c r="AB10" s="10"/>
      <c r="AC10" s="10"/>
      <c r="AD10" s="10"/>
    </row>
    <row r="11" spans="1:30" x14ac:dyDescent="0.2">
      <c r="A11" s="715">
        <f t="shared" ref="A11:A45" si="0">A10+1</f>
        <v>3</v>
      </c>
      <c r="B11" s="764" t="s">
        <v>36</v>
      </c>
      <c r="C11" s="727">
        <f>Össz.önkor.mérleg.!C11</f>
        <v>734518</v>
      </c>
      <c r="D11" s="727">
        <f>Össz.önkor.mérleg.!D11</f>
        <v>93769</v>
      </c>
      <c r="E11" s="727">
        <f>Össz.önkor.mérleg.!E11</f>
        <v>828287</v>
      </c>
      <c r="F11" s="727"/>
      <c r="G11" s="727"/>
      <c r="H11" s="727"/>
      <c r="I11" s="727"/>
      <c r="J11" s="727"/>
      <c r="K11" s="727" t="s">
        <v>27</v>
      </c>
      <c r="L11" s="727">
        <f>Össz.önkor.mérleg.!L11</f>
        <v>128496</v>
      </c>
      <c r="M11" s="727">
        <f>Össz.önkor.mérleg.!M11</f>
        <v>89973</v>
      </c>
      <c r="N11" s="727">
        <f>Össz.önkor.mérleg.!N11</f>
        <v>218469</v>
      </c>
      <c r="O11" s="724"/>
      <c r="P11" s="724"/>
      <c r="Q11" s="724"/>
      <c r="R11" s="724"/>
      <c r="S11" s="724"/>
      <c r="Y11" s="10"/>
      <c r="Z11" s="10"/>
      <c r="AA11" s="10"/>
      <c r="AB11" s="10"/>
      <c r="AC11" s="10"/>
      <c r="AD11" s="10"/>
    </row>
    <row r="12" spans="1:30" x14ac:dyDescent="0.2">
      <c r="A12" s="715">
        <f t="shared" si="0"/>
        <v>4</v>
      </c>
      <c r="B12" s="764" t="s">
        <v>964</v>
      </c>
      <c r="C12" s="727">
        <f>Össz.önkor.mérleg.!C12</f>
        <v>0</v>
      </c>
      <c r="D12" s="727">
        <f>Össz.önkor.mérleg.!D12</f>
        <v>0</v>
      </c>
      <c r="E12" s="727">
        <f>Össz.önkor.mérleg.!E12</f>
        <v>0</v>
      </c>
      <c r="F12" s="727"/>
      <c r="G12" s="727"/>
      <c r="H12" s="727"/>
      <c r="I12" s="727"/>
      <c r="J12" s="727"/>
      <c r="K12" s="727" t="s">
        <v>29</v>
      </c>
      <c r="L12" s="727">
        <f>Össz.önkor.mérleg.!L12</f>
        <v>586524</v>
      </c>
      <c r="M12" s="727">
        <f>Össz.önkor.mérleg.!M12</f>
        <v>543413</v>
      </c>
      <c r="N12" s="727">
        <f>Össz.önkor.mérleg.!N12</f>
        <v>1129937</v>
      </c>
      <c r="O12" s="724"/>
      <c r="P12" s="724"/>
      <c r="Q12" s="724"/>
      <c r="R12" s="724"/>
      <c r="S12" s="724"/>
      <c r="Y12" s="10"/>
      <c r="Z12" s="10"/>
      <c r="AA12" s="10"/>
      <c r="AB12" s="10"/>
      <c r="AC12" s="10"/>
      <c r="AD12" s="10"/>
    </row>
    <row r="13" spans="1:30" ht="12" customHeight="1" x14ac:dyDescent="0.2">
      <c r="A13" s="715">
        <f t="shared" si="0"/>
        <v>5</v>
      </c>
      <c r="B13" s="764" t="s">
        <v>37</v>
      </c>
      <c r="C13" s="727">
        <f>Össz.önkor.mérleg.!C13</f>
        <v>31021</v>
      </c>
      <c r="D13" s="727">
        <f>Össz.önkor.mérleg.!D13</f>
        <v>8994</v>
      </c>
      <c r="E13" s="727">
        <f>Össz.önkor.mérleg.!E13</f>
        <v>40015</v>
      </c>
      <c r="F13" s="727"/>
      <c r="G13" s="727"/>
      <c r="H13" s="727"/>
      <c r="I13" s="727"/>
      <c r="J13" s="727"/>
      <c r="K13" s="727"/>
      <c r="L13" s="727"/>
      <c r="M13" s="727"/>
      <c r="N13" s="728"/>
      <c r="O13" s="724"/>
      <c r="P13" s="724"/>
      <c r="Q13" s="724"/>
      <c r="R13" s="724"/>
      <c r="S13" s="724"/>
      <c r="Y13" s="10"/>
      <c r="Z13" s="10"/>
      <c r="AA13" s="10"/>
      <c r="AB13" s="10"/>
      <c r="AC13" s="10"/>
      <c r="AD13" s="10"/>
    </row>
    <row r="14" spans="1:30" x14ac:dyDescent="0.2">
      <c r="A14" s="715">
        <f t="shared" si="0"/>
        <v>6</v>
      </c>
      <c r="B14" s="764" t="s">
        <v>39</v>
      </c>
      <c r="C14" s="727">
        <f>Össz.önkor.mérleg.!C17</f>
        <v>488486</v>
      </c>
      <c r="D14" s="727">
        <f>Össz.önkor.mérleg.!D17</f>
        <v>746918</v>
      </c>
      <c r="E14" s="727">
        <f>Össz.önkor.mérleg.!E17</f>
        <v>1235404</v>
      </c>
      <c r="F14" s="727"/>
      <c r="G14" s="727"/>
      <c r="H14" s="727"/>
      <c r="I14" s="727"/>
      <c r="J14" s="727"/>
      <c r="K14" s="727" t="s">
        <v>28</v>
      </c>
      <c r="L14" s="727">
        <f>Össz.önkor.mérleg.!L14</f>
        <v>3150</v>
      </c>
      <c r="M14" s="727">
        <f>Össz.önkor.mérleg.!M14</f>
        <v>10950</v>
      </c>
      <c r="N14" s="727">
        <f>Össz.önkor.mérleg.!N14</f>
        <v>14100</v>
      </c>
      <c r="O14" s="724"/>
      <c r="P14" s="724"/>
      <c r="Q14" s="724"/>
      <c r="R14" s="724"/>
      <c r="S14" s="724"/>
      <c r="Y14" s="10"/>
      <c r="Z14" s="10"/>
      <c r="AA14" s="10"/>
      <c r="AB14" s="10"/>
      <c r="AC14" s="10"/>
      <c r="AD14" s="10"/>
    </row>
    <row r="15" spans="1:30" x14ac:dyDescent="0.2">
      <c r="A15" s="715">
        <f t="shared" si="0"/>
        <v>7</v>
      </c>
      <c r="B15" s="764"/>
      <c r="C15" s="727"/>
      <c r="D15" s="727"/>
      <c r="E15" s="727"/>
      <c r="F15" s="727"/>
      <c r="G15" s="727"/>
      <c r="H15" s="727"/>
      <c r="I15" s="727"/>
      <c r="J15" s="727"/>
      <c r="K15" s="727" t="s">
        <v>30</v>
      </c>
      <c r="L15" s="727"/>
      <c r="M15" s="730"/>
      <c r="N15" s="728"/>
      <c r="O15" s="724"/>
      <c r="P15" s="724"/>
      <c r="Q15" s="724"/>
      <c r="R15" s="724"/>
      <c r="S15" s="724"/>
      <c r="Y15" s="10"/>
      <c r="Z15" s="10"/>
      <c r="AA15" s="10"/>
      <c r="AB15" s="10"/>
      <c r="AC15" s="10"/>
      <c r="AD15" s="10"/>
    </row>
    <row r="16" spans="1:30" x14ac:dyDescent="0.2">
      <c r="A16" s="715">
        <f t="shared" si="0"/>
        <v>8</v>
      </c>
      <c r="B16" s="764" t="s">
        <v>41</v>
      </c>
      <c r="C16" s="728">
        <f>Össz.önkor.mérleg.!C20</f>
        <v>164367</v>
      </c>
      <c r="D16" s="728">
        <f>Össz.önkor.mérleg.!D20</f>
        <v>251560</v>
      </c>
      <c r="E16" s="728">
        <f>Össz.önkor.mérleg.!E20</f>
        <v>415927</v>
      </c>
      <c r="F16" s="728"/>
      <c r="G16" s="728"/>
      <c r="H16" s="728"/>
      <c r="I16" s="728"/>
      <c r="J16" s="728"/>
      <c r="K16" s="727" t="s">
        <v>461</v>
      </c>
      <c r="L16" s="727">
        <f>Össz.önkor.mérleg.!L17</f>
        <v>5780</v>
      </c>
      <c r="M16" s="727">
        <f>Össz.önkor.mérleg.!M17</f>
        <v>64147</v>
      </c>
      <c r="N16" s="727">
        <f>Össz.önkor.mérleg.!N17</f>
        <v>69927</v>
      </c>
      <c r="O16" s="724"/>
      <c r="P16" s="724"/>
      <c r="Q16" s="724"/>
      <c r="R16" s="724"/>
      <c r="S16" s="724"/>
      <c r="Y16" s="10"/>
      <c r="Z16" s="10"/>
      <c r="AA16" s="10"/>
      <c r="AB16" s="10"/>
      <c r="AC16" s="10"/>
      <c r="AD16" s="10"/>
    </row>
    <row r="17" spans="1:30" x14ac:dyDescent="0.2">
      <c r="A17" s="715">
        <f t="shared" si="0"/>
        <v>9</v>
      </c>
      <c r="B17" s="765" t="s">
        <v>40</v>
      </c>
      <c r="C17" s="728"/>
      <c r="D17" s="728"/>
      <c r="E17" s="728"/>
      <c r="F17" s="728"/>
      <c r="G17" s="728"/>
      <c r="H17" s="728"/>
      <c r="I17" s="728"/>
      <c r="J17" s="728"/>
      <c r="K17" s="727" t="s">
        <v>460</v>
      </c>
      <c r="L17" s="727">
        <f>Össz.önkor.mérleg.!L18</f>
        <v>151335</v>
      </c>
      <c r="M17" s="727">
        <f>Össz.önkor.mérleg.!M18</f>
        <v>170783</v>
      </c>
      <c r="N17" s="727">
        <f>Össz.önkor.mérleg.!N18</f>
        <v>322118</v>
      </c>
      <c r="O17" s="724"/>
      <c r="P17" s="724"/>
      <c r="Q17" s="724"/>
      <c r="R17" s="724"/>
      <c r="S17" s="724"/>
      <c r="Y17" s="10"/>
      <c r="Z17" s="10"/>
      <c r="AA17" s="10"/>
      <c r="AB17" s="10"/>
      <c r="AC17" s="10"/>
      <c r="AD17" s="10"/>
    </row>
    <row r="18" spans="1:30" x14ac:dyDescent="0.2">
      <c r="A18" s="715">
        <f t="shared" si="0"/>
        <v>10</v>
      </c>
      <c r="B18" s="765"/>
      <c r="C18" s="728"/>
      <c r="D18" s="728"/>
      <c r="E18" s="728"/>
      <c r="F18" s="728"/>
      <c r="G18" s="728"/>
      <c r="H18" s="728"/>
      <c r="I18" s="728"/>
      <c r="J18" s="728"/>
      <c r="K18" s="727" t="s">
        <v>198</v>
      </c>
      <c r="L18" s="727">
        <f>Össz.önkor.mérleg.!L19</f>
        <v>451</v>
      </c>
      <c r="M18" s="727">
        <f>Össz.önkor.mérleg.!M19</f>
        <v>0</v>
      </c>
      <c r="N18" s="727">
        <f>Össz.önkor.mérleg.!N19</f>
        <v>451</v>
      </c>
      <c r="O18" s="724"/>
      <c r="P18" s="724"/>
      <c r="Q18" s="724"/>
      <c r="R18" s="724"/>
      <c r="S18" s="724"/>
      <c r="Y18" s="10"/>
      <c r="Z18" s="10"/>
      <c r="AA18" s="10"/>
      <c r="AB18" s="10"/>
      <c r="AC18" s="10"/>
      <c r="AD18" s="10"/>
    </row>
    <row r="19" spans="1:30" x14ac:dyDescent="0.2">
      <c r="A19" s="715">
        <f t="shared" si="0"/>
        <v>11</v>
      </c>
      <c r="B19" s="764" t="s">
        <v>1280</v>
      </c>
      <c r="C19" s="727">
        <f>Össz.önkor.mérleg.!C29</f>
        <v>0</v>
      </c>
      <c r="D19" s="727">
        <f>Össz.önkor.mérleg.!D29</f>
        <v>62024</v>
      </c>
      <c r="E19" s="727">
        <f>Össz.önkor.mérleg.!E29</f>
        <v>62024</v>
      </c>
      <c r="F19" s="727"/>
      <c r="G19" s="727"/>
      <c r="H19" s="727"/>
      <c r="I19" s="727"/>
      <c r="J19" s="727"/>
      <c r="K19" s="727" t="s">
        <v>453</v>
      </c>
      <c r="L19" s="727">
        <f>Össz.önkor.mérleg.!L20</f>
        <v>0</v>
      </c>
      <c r="M19" s="727">
        <f>Össz.önkor.mérleg.!M20</f>
        <v>32982</v>
      </c>
      <c r="N19" s="727">
        <f>Össz.önkor.mérleg.!N20</f>
        <v>32982</v>
      </c>
      <c r="O19" s="724"/>
      <c r="P19" s="724"/>
      <c r="Q19" s="724"/>
      <c r="R19" s="724"/>
      <c r="S19" s="724"/>
      <c r="Y19" s="10"/>
      <c r="Z19" s="10"/>
      <c r="AA19" s="10"/>
      <c r="AB19" s="10"/>
      <c r="AC19" s="10"/>
      <c r="AD19" s="10"/>
    </row>
    <row r="20" spans="1:30" x14ac:dyDescent="0.2">
      <c r="A20" s="715">
        <f t="shared" si="0"/>
        <v>12</v>
      </c>
      <c r="B20" s="725"/>
      <c r="C20" s="728"/>
      <c r="D20" s="728"/>
      <c r="E20" s="728"/>
      <c r="F20" s="728"/>
      <c r="G20" s="728"/>
      <c r="H20" s="728"/>
      <c r="I20" s="728"/>
      <c r="J20" s="728"/>
      <c r="K20" s="727" t="s">
        <v>454</v>
      </c>
      <c r="L20" s="727">
        <f>Össz.önkor.mérleg.!L21</f>
        <v>5124</v>
      </c>
      <c r="M20" s="727">
        <f>Össz.önkor.mérleg.!M21</f>
        <v>1571</v>
      </c>
      <c r="N20" s="727">
        <f>Össz.önkor.mérleg.!N21</f>
        <v>6695</v>
      </c>
      <c r="O20" s="724"/>
      <c r="P20" s="724"/>
      <c r="Q20" s="724"/>
      <c r="R20" s="724"/>
      <c r="S20" s="724"/>
      <c r="Y20" s="10"/>
      <c r="Z20" s="10"/>
      <c r="AA20" s="10"/>
      <c r="AB20" s="10"/>
      <c r="AC20" s="10"/>
      <c r="AD20" s="10"/>
    </row>
    <row r="21" spans="1:30" x14ac:dyDescent="0.2">
      <c r="A21" s="715">
        <f t="shared" si="0"/>
        <v>13</v>
      </c>
      <c r="B21" s="725"/>
      <c r="C21" s="728"/>
      <c r="D21" s="728"/>
      <c r="E21" s="728"/>
      <c r="F21" s="728"/>
      <c r="G21" s="728"/>
      <c r="H21" s="728"/>
      <c r="I21" s="728"/>
      <c r="J21" s="728"/>
      <c r="K21" s="727"/>
      <c r="L21" s="727"/>
      <c r="M21" s="730"/>
      <c r="N21" s="728"/>
      <c r="O21" s="724"/>
      <c r="P21" s="724"/>
      <c r="Q21" s="724"/>
      <c r="R21" s="724"/>
      <c r="S21" s="724"/>
      <c r="Y21" s="10"/>
      <c r="Z21" s="10"/>
      <c r="AA21" s="10"/>
      <c r="AB21" s="10"/>
      <c r="AC21" s="10"/>
      <c r="AD21" s="10"/>
    </row>
    <row r="22" spans="1:30" s="101" customFormat="1" x14ac:dyDescent="0.2">
      <c r="A22" s="715">
        <f t="shared" si="0"/>
        <v>14</v>
      </c>
      <c r="B22" s="766" t="s">
        <v>52</v>
      </c>
      <c r="C22" s="767">
        <f>SUM(C11:C20)</f>
        <v>1418392</v>
      </c>
      <c r="D22" s="767">
        <f>SUM(D11:D20)</f>
        <v>1163265</v>
      </c>
      <c r="E22" s="767">
        <f>SUM(E11:E20)</f>
        <v>2581657</v>
      </c>
      <c r="F22" s="767"/>
      <c r="G22" s="767"/>
      <c r="H22" s="767"/>
      <c r="I22" s="767"/>
      <c r="J22" s="767"/>
      <c r="K22" s="735" t="s">
        <v>66</v>
      </c>
      <c r="L22" s="735">
        <f>SUM(L10:L21)</f>
        <v>1458038</v>
      </c>
      <c r="M22" s="735">
        <f>SUM(M10:M21)</f>
        <v>1293525</v>
      </c>
      <c r="N22" s="735">
        <f>SUM(N10:N21)</f>
        <v>2751563</v>
      </c>
      <c r="O22" s="732"/>
      <c r="P22" s="732"/>
      <c r="Q22" s="732"/>
      <c r="R22" s="732"/>
      <c r="S22" s="732"/>
      <c r="T22" s="133"/>
      <c r="U22" s="133"/>
      <c r="V22" s="133"/>
      <c r="W22" s="133"/>
      <c r="X22" s="133"/>
    </row>
    <row r="23" spans="1:30" s="101" customFormat="1" x14ac:dyDescent="0.2">
      <c r="A23" s="715">
        <f t="shared" si="0"/>
        <v>15</v>
      </c>
      <c r="B23" s="725"/>
      <c r="C23" s="728"/>
      <c r="D23" s="728"/>
      <c r="E23" s="728"/>
      <c r="F23" s="728"/>
      <c r="G23" s="728"/>
      <c r="H23" s="728"/>
      <c r="I23" s="728"/>
      <c r="J23" s="728"/>
      <c r="K23" s="730"/>
      <c r="L23" s="730"/>
      <c r="M23" s="730"/>
      <c r="N23" s="730"/>
      <c r="O23" s="732"/>
      <c r="P23" s="732"/>
      <c r="Q23" s="732"/>
      <c r="R23" s="732"/>
      <c r="S23" s="732"/>
      <c r="T23" s="133"/>
      <c r="U23" s="133"/>
      <c r="V23" s="133"/>
      <c r="W23" s="133"/>
      <c r="X23" s="133"/>
    </row>
    <row r="24" spans="1:30" x14ac:dyDescent="0.2">
      <c r="A24" s="715">
        <f t="shared" si="0"/>
        <v>16</v>
      </c>
      <c r="B24" s="740" t="s">
        <v>51</v>
      </c>
      <c r="C24" s="734">
        <f>SUM(C22:C23)</f>
        <v>1418392</v>
      </c>
      <c r="D24" s="734">
        <f>SUM(D22:D23)</f>
        <v>1163265</v>
      </c>
      <c r="E24" s="734">
        <f>SUM(E22:E23)</f>
        <v>2581657</v>
      </c>
      <c r="F24" s="734"/>
      <c r="G24" s="734"/>
      <c r="H24" s="734"/>
      <c r="I24" s="734"/>
      <c r="J24" s="734"/>
      <c r="K24" s="737" t="s">
        <v>69</v>
      </c>
      <c r="L24" s="737">
        <f>SUM(L22:L23)</f>
        <v>1458038</v>
      </c>
      <c r="M24" s="737">
        <f>SUM(M22:M23)</f>
        <v>1293525</v>
      </c>
      <c r="N24" s="737">
        <f>SUM(N22:N23)</f>
        <v>2751563</v>
      </c>
      <c r="O24" s="724"/>
      <c r="P24" s="724"/>
      <c r="Q24" s="724"/>
      <c r="R24" s="724"/>
      <c r="S24" s="724"/>
      <c r="Y24" s="10"/>
      <c r="Z24" s="10"/>
      <c r="AA24" s="10"/>
      <c r="AB24" s="10"/>
      <c r="AC24" s="10"/>
      <c r="AD24" s="10"/>
    </row>
    <row r="25" spans="1:30" x14ac:dyDescent="0.2">
      <c r="A25" s="715">
        <f t="shared" si="0"/>
        <v>17</v>
      </c>
      <c r="B25" s="764"/>
      <c r="C25" s="728"/>
      <c r="D25" s="728"/>
      <c r="E25" s="728"/>
      <c r="F25" s="728"/>
      <c r="G25" s="728"/>
      <c r="H25" s="728"/>
      <c r="I25" s="728"/>
      <c r="J25" s="728"/>
      <c r="K25" s="730"/>
      <c r="L25" s="730"/>
      <c r="M25" s="730"/>
      <c r="N25" s="730"/>
      <c r="O25" s="724"/>
      <c r="P25" s="724"/>
      <c r="Q25" s="724"/>
      <c r="R25" s="724"/>
      <c r="S25" s="724"/>
      <c r="Y25" s="10"/>
      <c r="Z25" s="10"/>
      <c r="AA25" s="10"/>
      <c r="AB25" s="10"/>
      <c r="AC25" s="10"/>
      <c r="AD25" s="10"/>
    </row>
    <row r="26" spans="1:30" x14ac:dyDescent="0.2">
      <c r="A26" s="768">
        <f t="shared" si="0"/>
        <v>18</v>
      </c>
      <c r="B26" s="769" t="s">
        <v>655</v>
      </c>
      <c r="C26" s="736">
        <f>C24-L24</f>
        <v>-39646</v>
      </c>
      <c r="D26" s="736">
        <f>D24-M24</f>
        <v>-130260</v>
      </c>
      <c r="E26" s="736">
        <f>E24-N24</f>
        <v>-169906</v>
      </c>
      <c r="F26" s="736"/>
      <c r="G26" s="736"/>
      <c r="H26" s="736"/>
      <c r="I26" s="736"/>
      <c r="J26" s="736"/>
      <c r="K26" s="736"/>
      <c r="L26" s="737"/>
      <c r="M26" s="737"/>
      <c r="N26" s="730"/>
      <c r="O26" s="724"/>
      <c r="P26" s="724"/>
      <c r="Q26" s="724"/>
      <c r="R26" s="724"/>
      <c r="S26" s="724"/>
      <c r="Y26" s="10"/>
      <c r="Z26" s="10"/>
      <c r="AA26" s="10"/>
      <c r="AB26" s="10"/>
      <c r="AC26" s="10"/>
      <c r="AD26" s="10"/>
    </row>
    <row r="27" spans="1:30" x14ac:dyDescent="0.2">
      <c r="A27" s="768">
        <f t="shared" si="0"/>
        <v>19</v>
      </c>
      <c r="B27" s="764"/>
      <c r="C27" s="727"/>
      <c r="D27" s="727"/>
      <c r="E27" s="727"/>
      <c r="F27" s="727"/>
      <c r="G27" s="727"/>
      <c r="H27" s="727"/>
      <c r="I27" s="727"/>
      <c r="J27" s="727"/>
      <c r="K27" s="727"/>
      <c r="L27" s="730"/>
      <c r="M27" s="730"/>
      <c r="N27" s="730"/>
      <c r="O27" s="724"/>
      <c r="P27" s="724"/>
      <c r="Q27" s="724"/>
      <c r="R27" s="724"/>
      <c r="S27" s="724"/>
      <c r="Y27" s="10"/>
      <c r="Z27" s="10"/>
      <c r="AA27" s="10"/>
      <c r="AB27" s="10"/>
      <c r="AC27" s="10"/>
      <c r="AD27" s="10"/>
    </row>
    <row r="28" spans="1:30" x14ac:dyDescent="0.2">
      <c r="A28" s="768">
        <f t="shared" si="0"/>
        <v>20</v>
      </c>
      <c r="B28" s="736" t="s">
        <v>53</v>
      </c>
      <c r="C28" s="736"/>
      <c r="D28" s="736"/>
      <c r="E28" s="736"/>
      <c r="F28" s="736"/>
      <c r="G28" s="736"/>
      <c r="H28" s="736"/>
      <c r="I28" s="736"/>
      <c r="J28" s="736"/>
      <c r="K28" s="736" t="s">
        <v>33</v>
      </c>
      <c r="L28" s="730"/>
      <c r="M28" s="730"/>
      <c r="N28" s="730"/>
      <c r="O28" s="724"/>
      <c r="P28" s="724"/>
      <c r="Q28" s="724"/>
      <c r="R28" s="724"/>
      <c r="S28" s="724"/>
      <c r="Y28" s="10"/>
      <c r="Z28" s="10"/>
      <c r="AA28" s="10"/>
      <c r="AB28" s="10"/>
      <c r="AC28" s="10"/>
      <c r="AD28" s="10"/>
    </row>
    <row r="29" spans="1:30" s="101" customFormat="1" x14ac:dyDescent="0.2">
      <c r="A29" s="768">
        <f t="shared" si="0"/>
        <v>21</v>
      </c>
      <c r="B29" s="743" t="s">
        <v>710</v>
      </c>
      <c r="C29" s="736"/>
      <c r="D29" s="736"/>
      <c r="E29" s="736"/>
      <c r="F29" s="736"/>
      <c r="G29" s="736"/>
      <c r="H29" s="736"/>
      <c r="I29" s="736"/>
      <c r="J29" s="736"/>
      <c r="K29" s="743" t="s">
        <v>4</v>
      </c>
      <c r="L29" s="730"/>
      <c r="M29" s="730"/>
      <c r="N29" s="730"/>
      <c r="O29" s="732"/>
      <c r="P29" s="732"/>
      <c r="Q29" s="732"/>
      <c r="R29" s="732"/>
      <c r="S29" s="732"/>
      <c r="T29" s="133"/>
      <c r="U29" s="133"/>
      <c r="V29" s="133"/>
      <c r="W29" s="133"/>
      <c r="X29" s="133"/>
    </row>
    <row r="30" spans="1:30" ht="21.75" x14ac:dyDescent="0.2">
      <c r="A30" s="768">
        <f t="shared" si="0"/>
        <v>22</v>
      </c>
      <c r="B30" s="770" t="s">
        <v>1056</v>
      </c>
      <c r="C30" s="727">
        <f>Össz.önkor.mérleg.!C41</f>
        <v>1243160</v>
      </c>
      <c r="D30" s="727">
        <f>Össz.önkor.mérleg.!D41</f>
        <v>0</v>
      </c>
      <c r="E30" s="727">
        <f>Össz.önkor.mérleg.!E41</f>
        <v>1243160</v>
      </c>
      <c r="F30" s="727"/>
      <c r="G30" s="727"/>
      <c r="H30" s="727"/>
      <c r="I30" s="727"/>
      <c r="J30" s="727"/>
      <c r="K30" s="725" t="s">
        <v>3</v>
      </c>
      <c r="L30" s="730"/>
      <c r="M30" s="730"/>
      <c r="N30" s="730"/>
      <c r="O30" s="724"/>
      <c r="P30" s="724"/>
      <c r="Q30" s="724"/>
      <c r="R30" s="724"/>
      <c r="S30" s="724"/>
      <c r="Y30" s="10"/>
      <c r="Z30" s="10"/>
      <c r="AA30" s="10"/>
      <c r="AB30" s="10"/>
      <c r="AC30" s="10"/>
      <c r="AD30" s="10"/>
    </row>
    <row r="31" spans="1:30" x14ac:dyDescent="0.2">
      <c r="A31" s="768">
        <f t="shared" si="0"/>
        <v>23</v>
      </c>
      <c r="B31" s="725" t="s">
        <v>1054</v>
      </c>
      <c r="C31" s="736">
        <f>-997160-244511-1489</f>
        <v>-1243160</v>
      </c>
      <c r="D31" s="736">
        <v>0</v>
      </c>
      <c r="E31" s="727">
        <f>C31+D31</f>
        <v>-1243160</v>
      </c>
      <c r="F31" s="727"/>
      <c r="G31" s="727"/>
      <c r="H31" s="727"/>
      <c r="I31" s="727"/>
      <c r="J31" s="727"/>
      <c r="K31" s="725"/>
      <c r="L31" s="730"/>
      <c r="M31" s="730"/>
      <c r="N31" s="730"/>
      <c r="O31" s="724"/>
      <c r="P31" s="724"/>
      <c r="Q31" s="724"/>
      <c r="R31" s="724"/>
      <c r="S31" s="724"/>
      <c r="Y31" s="10"/>
      <c r="Z31" s="10"/>
      <c r="AA31" s="10"/>
      <c r="AB31" s="10"/>
      <c r="AC31" s="10"/>
      <c r="AD31" s="10"/>
    </row>
    <row r="32" spans="1:30" s="11" customFormat="1" x14ac:dyDescent="0.2">
      <c r="A32" s="768">
        <f t="shared" si="0"/>
        <v>24</v>
      </c>
      <c r="B32" s="727" t="s">
        <v>662</v>
      </c>
      <c r="C32" s="745"/>
      <c r="D32" s="743"/>
      <c r="E32" s="743">
        <f>SUM(C32:D32)</f>
        <v>0</v>
      </c>
      <c r="F32" s="743"/>
      <c r="G32" s="743"/>
      <c r="H32" s="743"/>
      <c r="I32" s="743"/>
      <c r="J32" s="743"/>
      <c r="K32" s="727" t="s">
        <v>5</v>
      </c>
      <c r="L32" s="730"/>
      <c r="M32" s="730"/>
      <c r="N32" s="730"/>
      <c r="O32" s="739"/>
      <c r="P32" s="739"/>
      <c r="Q32" s="739"/>
      <c r="R32" s="739"/>
      <c r="S32" s="739"/>
      <c r="T32" s="131"/>
      <c r="U32" s="131"/>
      <c r="V32" s="131"/>
      <c r="W32" s="131"/>
      <c r="X32" s="131"/>
    </row>
    <row r="33" spans="1:30" x14ac:dyDescent="0.2">
      <c r="A33" s="768">
        <f t="shared" si="0"/>
        <v>25</v>
      </c>
      <c r="B33" s="727" t="s">
        <v>711</v>
      </c>
      <c r="C33" s="727"/>
      <c r="D33" s="727"/>
      <c r="E33" s="727"/>
      <c r="F33" s="727"/>
      <c r="G33" s="727"/>
      <c r="H33" s="727"/>
      <c r="I33" s="727"/>
      <c r="J33" s="727"/>
      <c r="K33" s="727" t="s">
        <v>6</v>
      </c>
      <c r="L33" s="771"/>
      <c r="M33" s="771"/>
      <c r="N33" s="771"/>
      <c r="O33" s="724"/>
      <c r="P33" s="724"/>
      <c r="Q33" s="724"/>
      <c r="R33" s="724"/>
      <c r="S33" s="724"/>
      <c r="Y33" s="10"/>
      <c r="Z33" s="10"/>
      <c r="AA33" s="10"/>
      <c r="AB33" s="10"/>
      <c r="AC33" s="10"/>
      <c r="AD33" s="10"/>
    </row>
    <row r="34" spans="1:30" x14ac:dyDescent="0.2">
      <c r="A34" s="768">
        <f t="shared" si="0"/>
        <v>26</v>
      </c>
      <c r="B34" s="727" t="s">
        <v>664</v>
      </c>
      <c r="C34" s="727">
        <f>Össz.önkor.mérleg.!C44</f>
        <v>1205857</v>
      </c>
      <c r="D34" s="727">
        <f>Össz.önkor.mérleg.!D44</f>
        <v>174339</v>
      </c>
      <c r="E34" s="727">
        <f>SUM(C34:D34)</f>
        <v>1380196</v>
      </c>
      <c r="F34" s="727"/>
      <c r="G34" s="727"/>
      <c r="H34" s="727"/>
      <c r="I34" s="727"/>
      <c r="J34" s="727"/>
      <c r="K34" s="727" t="s">
        <v>7</v>
      </c>
      <c r="L34" s="737"/>
      <c r="M34" s="737"/>
      <c r="N34" s="737"/>
      <c r="O34" s="724"/>
      <c r="P34" s="724"/>
      <c r="Q34" s="724"/>
      <c r="R34" s="724"/>
      <c r="S34" s="724"/>
      <c r="Y34" s="10"/>
      <c r="Z34" s="10"/>
      <c r="AA34" s="10"/>
      <c r="AB34" s="10"/>
      <c r="AC34" s="10"/>
      <c r="AD34" s="10"/>
    </row>
    <row r="35" spans="1:30" x14ac:dyDescent="0.2">
      <c r="A35" s="768">
        <f t="shared" si="0"/>
        <v>27</v>
      </c>
      <c r="B35" s="727" t="s">
        <v>993</v>
      </c>
      <c r="C35" s="727">
        <f>Össz.önkor.mérleg.!C45</f>
        <v>0</v>
      </c>
      <c r="D35" s="727">
        <f>Össz.önkor.mérleg.!D45</f>
        <v>0</v>
      </c>
      <c r="E35" s="727">
        <f>Össz.önkor.mérleg.!E45</f>
        <v>0</v>
      </c>
      <c r="F35" s="727"/>
      <c r="G35" s="727"/>
      <c r="H35" s="727"/>
      <c r="I35" s="727"/>
      <c r="J35" s="727"/>
      <c r="K35" s="727"/>
      <c r="L35" s="737"/>
      <c r="M35" s="737"/>
      <c r="N35" s="737"/>
      <c r="O35" s="724"/>
      <c r="P35" s="724"/>
      <c r="Q35" s="724"/>
      <c r="R35" s="724"/>
      <c r="S35" s="724"/>
      <c r="Y35" s="10"/>
      <c r="Z35" s="10"/>
      <c r="AA35" s="10"/>
      <c r="AB35" s="10"/>
      <c r="AC35" s="10"/>
      <c r="AD35" s="10"/>
    </row>
    <row r="36" spans="1:30" x14ac:dyDescent="0.2">
      <c r="A36" s="768">
        <f t="shared" si="0"/>
        <v>28</v>
      </c>
      <c r="B36" s="764" t="s">
        <v>663</v>
      </c>
      <c r="C36" s="727">
        <f>-'felhalm. mérleg'!C35</f>
        <v>-1138518</v>
      </c>
      <c r="D36" s="727">
        <f>-'felhalm. mérleg'!D35</f>
        <v>-40328</v>
      </c>
      <c r="E36" s="727">
        <f>-'felhalm. mérleg'!E35</f>
        <v>-1178846</v>
      </c>
      <c r="F36" s="727"/>
      <c r="G36" s="727"/>
      <c r="H36" s="727"/>
      <c r="I36" s="727"/>
      <c r="J36" s="727"/>
      <c r="K36" s="727" t="s">
        <v>8</v>
      </c>
      <c r="L36" s="730"/>
      <c r="M36" s="730"/>
      <c r="N36" s="730"/>
      <c r="O36" s="724"/>
      <c r="P36" s="724"/>
      <c r="Q36" s="724"/>
      <c r="R36" s="724"/>
      <c r="S36" s="724"/>
      <c r="Y36" s="10"/>
      <c r="Z36" s="10"/>
      <c r="AA36" s="10"/>
      <c r="AB36" s="10"/>
      <c r="AC36" s="10"/>
      <c r="AD36" s="10"/>
    </row>
    <row r="37" spans="1:30" x14ac:dyDescent="0.2">
      <c r="A37" s="768">
        <f t="shared" si="0"/>
        <v>29</v>
      </c>
      <c r="B37" s="727" t="s">
        <v>713</v>
      </c>
      <c r="C37" s="727">
        <f>Össz.önkor.mérleg.!C46</f>
        <v>1164</v>
      </c>
      <c r="D37" s="727">
        <f>Össz.önkor.mérleg.!D46</f>
        <v>0</v>
      </c>
      <c r="E37" s="727">
        <f>Össz.önkor.mérleg.!E46</f>
        <v>1164</v>
      </c>
      <c r="F37" s="727"/>
      <c r="G37" s="727"/>
      <c r="H37" s="727"/>
      <c r="I37" s="727"/>
      <c r="J37" s="727"/>
      <c r="K37" s="727" t="s">
        <v>9</v>
      </c>
      <c r="L37" s="735">
        <f>Össz.önkor.mérleg.!L47</f>
        <v>28857</v>
      </c>
      <c r="M37" s="735">
        <f>Össz.önkor.mérleg.!M47</f>
        <v>3751</v>
      </c>
      <c r="N37" s="735">
        <f>Össz.önkor.mérleg.!N47</f>
        <v>32608</v>
      </c>
      <c r="O37" s="724"/>
      <c r="P37" s="724"/>
      <c r="Q37" s="724"/>
      <c r="R37" s="724"/>
      <c r="S37" s="724"/>
      <c r="Y37" s="10"/>
      <c r="Z37" s="10"/>
      <c r="AA37" s="10"/>
      <c r="AB37" s="10"/>
      <c r="AC37" s="10"/>
      <c r="AD37" s="10"/>
    </row>
    <row r="38" spans="1:30" s="11" customFormat="1" x14ac:dyDescent="0.2">
      <c r="A38" s="768">
        <f t="shared" si="0"/>
        <v>30</v>
      </c>
      <c r="B38" s="727" t="s">
        <v>714</v>
      </c>
      <c r="C38" s="727"/>
      <c r="D38" s="727"/>
      <c r="E38" s="727"/>
      <c r="F38" s="727"/>
      <c r="G38" s="727"/>
      <c r="H38" s="727"/>
      <c r="I38" s="727"/>
      <c r="J38" s="727"/>
      <c r="K38" s="727" t="s">
        <v>10</v>
      </c>
      <c r="L38" s="730"/>
      <c r="M38" s="730"/>
      <c r="N38" s="730"/>
      <c r="O38" s="739"/>
      <c r="P38" s="739"/>
      <c r="Q38" s="739"/>
      <c r="R38" s="739"/>
      <c r="S38" s="739"/>
      <c r="T38" s="131"/>
      <c r="U38" s="131"/>
      <c r="V38" s="131"/>
      <c r="W38" s="131"/>
      <c r="X38" s="131"/>
    </row>
    <row r="39" spans="1:30" s="11" customFormat="1" x14ac:dyDescent="0.2">
      <c r="A39" s="768">
        <f t="shared" si="0"/>
        <v>31</v>
      </c>
      <c r="B39" s="727" t="s">
        <v>715</v>
      </c>
      <c r="C39" s="727"/>
      <c r="D39" s="727"/>
      <c r="E39" s="727"/>
      <c r="F39" s="727"/>
      <c r="G39" s="727"/>
      <c r="H39" s="727"/>
      <c r="I39" s="727"/>
      <c r="J39" s="727"/>
      <c r="K39" s="727" t="s">
        <v>11</v>
      </c>
      <c r="L39" s="737"/>
      <c r="M39" s="737"/>
      <c r="N39" s="737"/>
      <c r="O39" s="739"/>
      <c r="P39" s="739"/>
      <c r="Q39" s="739"/>
      <c r="R39" s="739"/>
      <c r="S39" s="739"/>
      <c r="T39" s="131"/>
      <c r="U39" s="131"/>
      <c r="V39" s="131"/>
      <c r="W39" s="131"/>
      <c r="X39" s="131"/>
    </row>
    <row r="40" spans="1:30" s="11" customFormat="1" x14ac:dyDescent="0.2">
      <c r="A40" s="768">
        <f t="shared" si="0"/>
        <v>32</v>
      </c>
      <c r="B40" s="727" t="s">
        <v>716</v>
      </c>
      <c r="C40" s="727"/>
      <c r="D40" s="727"/>
      <c r="E40" s="727"/>
      <c r="F40" s="727"/>
      <c r="G40" s="727"/>
      <c r="H40" s="727"/>
      <c r="I40" s="727"/>
      <c r="J40" s="727"/>
      <c r="K40" s="727" t="s">
        <v>12</v>
      </c>
      <c r="L40" s="737"/>
      <c r="M40" s="740"/>
      <c r="N40" s="740"/>
      <c r="O40" s="739"/>
      <c r="P40" s="739"/>
      <c r="Q40" s="739"/>
      <c r="R40" s="739"/>
      <c r="S40" s="739"/>
      <c r="T40" s="131"/>
      <c r="U40" s="131"/>
      <c r="V40" s="131"/>
      <c r="W40" s="131"/>
      <c r="X40" s="131"/>
    </row>
    <row r="41" spans="1:30" s="11" customFormat="1" x14ac:dyDescent="0.2">
      <c r="A41" s="768">
        <f t="shared" si="0"/>
        <v>33</v>
      </c>
      <c r="B41" s="727" t="s">
        <v>0</v>
      </c>
      <c r="C41" s="727"/>
      <c r="D41" s="727"/>
      <c r="E41" s="727"/>
      <c r="F41" s="727"/>
      <c r="G41" s="727"/>
      <c r="H41" s="727"/>
      <c r="I41" s="727"/>
      <c r="J41" s="727"/>
      <c r="K41" s="727" t="s">
        <v>13</v>
      </c>
      <c r="L41" s="737"/>
      <c r="M41" s="737"/>
      <c r="N41" s="737"/>
      <c r="O41" s="739"/>
      <c r="P41" s="739"/>
      <c r="Q41" s="739"/>
      <c r="R41" s="739"/>
      <c r="S41" s="739"/>
      <c r="T41" s="131"/>
      <c r="U41" s="131"/>
      <c r="V41" s="131"/>
      <c r="W41" s="131"/>
      <c r="X41" s="131"/>
    </row>
    <row r="42" spans="1:30" x14ac:dyDescent="0.2">
      <c r="A42" s="768">
        <f t="shared" si="0"/>
        <v>34</v>
      </c>
      <c r="B42" s="727" t="s">
        <v>1</v>
      </c>
      <c r="C42" s="727">
        <f>Össz.önkor.mérleg.!C51</f>
        <v>0</v>
      </c>
      <c r="D42" s="727">
        <f>Össz.önkor.mérleg.!D51</f>
        <v>0</v>
      </c>
      <c r="E42" s="727">
        <f>Össz.önkor.mérleg.!E51</f>
        <v>0</v>
      </c>
      <c r="F42" s="727"/>
      <c r="G42" s="727"/>
      <c r="H42" s="727"/>
      <c r="I42" s="727"/>
      <c r="J42" s="727"/>
      <c r="K42" s="727" t="s">
        <v>14</v>
      </c>
      <c r="L42" s="737"/>
      <c r="M42" s="737"/>
      <c r="N42" s="737"/>
      <c r="O42" s="724"/>
      <c r="P42" s="724"/>
      <c r="Q42" s="724"/>
      <c r="R42" s="724"/>
      <c r="S42" s="724"/>
      <c r="Y42" s="10"/>
      <c r="Z42" s="10"/>
      <c r="AA42" s="10"/>
      <c r="AB42" s="10"/>
      <c r="AC42" s="10"/>
      <c r="AD42" s="10"/>
    </row>
    <row r="43" spans="1:30" x14ac:dyDescent="0.2">
      <c r="A43" s="768">
        <f t="shared" si="0"/>
        <v>35</v>
      </c>
      <c r="B43" s="727" t="s">
        <v>2</v>
      </c>
      <c r="C43" s="727"/>
      <c r="D43" s="727"/>
      <c r="E43" s="727"/>
      <c r="F43" s="727"/>
      <c r="G43" s="727"/>
      <c r="H43" s="727"/>
      <c r="I43" s="727"/>
      <c r="J43" s="727"/>
      <c r="K43" s="727" t="s">
        <v>15</v>
      </c>
      <c r="L43" s="737"/>
      <c r="M43" s="737"/>
      <c r="N43" s="737"/>
      <c r="O43" s="724"/>
      <c r="P43" s="724"/>
      <c r="Q43" s="724"/>
      <c r="R43" s="724"/>
      <c r="S43" s="724"/>
      <c r="Y43" s="10"/>
      <c r="Z43" s="10"/>
      <c r="AA43" s="10"/>
      <c r="AB43" s="10"/>
      <c r="AC43" s="10"/>
      <c r="AD43" s="10"/>
    </row>
    <row r="44" spans="1:30" ht="12" thickBot="1" x14ac:dyDescent="0.25">
      <c r="A44" s="772">
        <f t="shared" si="0"/>
        <v>36</v>
      </c>
      <c r="B44" s="773" t="s">
        <v>463</v>
      </c>
      <c r="C44" s="748">
        <f>SUM(C29:C42)</f>
        <v>68503</v>
      </c>
      <c r="D44" s="748">
        <f>SUM(D29:D42)</f>
        <v>134011</v>
      </c>
      <c r="E44" s="748">
        <f>SUM(E29:E42)</f>
        <v>202514</v>
      </c>
      <c r="F44" s="748"/>
      <c r="G44" s="748"/>
      <c r="H44" s="748"/>
      <c r="I44" s="748"/>
      <c r="J44" s="748"/>
      <c r="K44" s="748" t="s">
        <v>456</v>
      </c>
      <c r="L44" s="749">
        <f>SUM(L29:L43)</f>
        <v>28857</v>
      </c>
      <c r="M44" s="749">
        <f>SUM(M29:M43)</f>
        <v>3751</v>
      </c>
      <c r="N44" s="749">
        <f>SUM(N29:N43)</f>
        <v>32608</v>
      </c>
      <c r="O44" s="750"/>
      <c r="P44" s="750"/>
      <c r="Q44" s="750"/>
      <c r="R44" s="750"/>
      <c r="S44" s="750"/>
      <c r="Y44" s="10"/>
      <c r="Z44" s="10"/>
      <c r="AA44" s="10"/>
      <c r="AB44" s="10"/>
      <c r="AC44" s="10"/>
      <c r="AD44" s="10"/>
    </row>
    <row r="45" spans="1:30" ht="12" thickBot="1" x14ac:dyDescent="0.25">
      <c r="A45" s="774">
        <f t="shared" si="0"/>
        <v>37</v>
      </c>
      <c r="B45" s="711" t="s">
        <v>458</v>
      </c>
      <c r="C45" s="708">
        <f>C24+C44</f>
        <v>1486895</v>
      </c>
      <c r="D45" s="708">
        <f>D24+D44</f>
        <v>1297276</v>
      </c>
      <c r="E45" s="708">
        <f>E24+E44</f>
        <v>2784171</v>
      </c>
      <c r="F45" s="708"/>
      <c r="G45" s="708"/>
      <c r="H45" s="708"/>
      <c r="I45" s="708"/>
      <c r="J45" s="708"/>
      <c r="K45" s="711" t="s">
        <v>457</v>
      </c>
      <c r="L45" s="708">
        <f>L24+L44</f>
        <v>1486895</v>
      </c>
      <c r="M45" s="708">
        <f>M24+M44</f>
        <v>1297276</v>
      </c>
      <c r="N45" s="752">
        <f>N24+N44</f>
        <v>2784171</v>
      </c>
      <c r="O45" s="753"/>
      <c r="P45" s="753"/>
      <c r="Q45" s="753"/>
      <c r="R45" s="753"/>
      <c r="S45" s="775"/>
      <c r="Y45" s="10"/>
      <c r="Z45" s="10"/>
      <c r="AA45" s="10"/>
      <c r="AB45" s="10"/>
      <c r="AC45" s="10"/>
      <c r="AD45" s="10"/>
    </row>
    <row r="46" spans="1:30" x14ac:dyDescent="0.2">
      <c r="B46" s="131"/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Y46" s="10"/>
      <c r="Z46" s="10"/>
      <c r="AA46" s="10"/>
      <c r="AB46" s="10"/>
      <c r="AC46" s="10"/>
      <c r="AD46" s="10"/>
    </row>
  </sheetData>
  <sheetProtection selectLockedCells="1" selectUnlockedCells="1"/>
  <mergeCells count="15">
    <mergeCell ref="O7:P7"/>
    <mergeCell ref="Q7:S7"/>
    <mergeCell ref="B1:N1"/>
    <mergeCell ref="C7:E7"/>
    <mergeCell ref="L7:N7"/>
    <mergeCell ref="B3:N3"/>
    <mergeCell ref="B4:N4"/>
    <mergeCell ref="A5:N5"/>
    <mergeCell ref="A6:A8"/>
    <mergeCell ref="B6:B7"/>
    <mergeCell ref="C6:E6"/>
    <mergeCell ref="K6:K7"/>
    <mergeCell ref="L6:N6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82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55"/>
  <sheetViews>
    <sheetView zoomScale="120" workbookViewId="0">
      <selection activeCell="C60" sqref="C60"/>
    </sheetView>
  </sheetViews>
  <sheetFormatPr defaultColWidth="9.140625" defaultRowHeight="11.25" x14ac:dyDescent="0.2"/>
  <cols>
    <col min="1" max="1" width="4.85546875" style="119" customWidth="1"/>
    <col min="2" max="2" width="36.85546875" style="119" customWidth="1"/>
    <col min="3" max="4" width="11.28515625" style="120" customWidth="1"/>
    <col min="5" max="5" width="11" style="120" customWidth="1"/>
    <col min="6" max="6" width="10.42578125" style="120" customWidth="1"/>
    <col min="7" max="7" width="10.7109375" style="120" customWidth="1"/>
    <col min="8" max="8" width="11.140625" style="120" customWidth="1"/>
    <col min="9" max="9" width="10.42578125" style="120" customWidth="1"/>
    <col min="10" max="10" width="10.5703125" style="120" customWidth="1"/>
    <col min="11" max="11" width="35.42578125" style="120" customWidth="1"/>
    <col min="12" max="12" width="12.140625" style="208" customWidth="1"/>
    <col min="13" max="13" width="11.42578125" style="208" customWidth="1"/>
    <col min="14" max="14" width="10.85546875" style="208" customWidth="1"/>
    <col min="15" max="15" width="10.5703125" style="119" customWidth="1"/>
    <col min="16" max="16" width="10.28515625" style="10" customWidth="1"/>
    <col min="17" max="18" width="10.42578125" style="10" customWidth="1"/>
    <col min="19" max="19" width="10.7109375" style="10" customWidth="1"/>
    <col min="20" max="16384" width="9.140625" style="10"/>
  </cols>
  <sheetData>
    <row r="1" spans="1:19" ht="12.75" customHeight="1" x14ac:dyDescent="0.2">
      <c r="B1" s="1214" t="s">
        <v>1308</v>
      </c>
      <c r="C1" s="1214"/>
      <c r="D1" s="1214"/>
      <c r="E1" s="1214"/>
      <c r="F1" s="1214"/>
      <c r="G1" s="1214"/>
      <c r="H1" s="1214"/>
      <c r="I1" s="1214"/>
      <c r="J1" s="1214"/>
      <c r="K1" s="1214"/>
      <c r="L1" s="1214"/>
      <c r="M1" s="1214"/>
      <c r="N1" s="1214"/>
      <c r="O1" s="1214"/>
      <c r="P1" s="1214"/>
      <c r="Q1" s="1214"/>
      <c r="R1" s="1214"/>
      <c r="S1" s="1214"/>
    </row>
    <row r="2" spans="1:19" x14ac:dyDescent="0.2">
      <c r="N2" s="254"/>
    </row>
    <row r="3" spans="1:19" x14ac:dyDescent="0.2">
      <c r="N3" s="254"/>
    </row>
    <row r="4" spans="1:19" s="99" customFormat="1" ht="12.75" customHeight="1" x14ac:dyDescent="0.2">
      <c r="A4" s="1215" t="s">
        <v>78</v>
      </c>
      <c r="B4" s="1215"/>
      <c r="C4" s="1215"/>
      <c r="D4" s="1215"/>
      <c r="E4" s="1215"/>
      <c r="F4" s="1215"/>
      <c r="G4" s="1215"/>
      <c r="H4" s="1215"/>
      <c r="I4" s="1215"/>
      <c r="J4" s="1215"/>
      <c r="K4" s="1215"/>
      <c r="L4" s="1215"/>
      <c r="M4" s="1215"/>
      <c r="N4" s="1215"/>
      <c r="O4" s="1215"/>
      <c r="P4" s="1215"/>
      <c r="Q4" s="1215"/>
      <c r="R4" s="1215"/>
      <c r="S4" s="1215"/>
    </row>
    <row r="5" spans="1:19" s="99" customFormat="1" ht="12.75" customHeight="1" x14ac:dyDescent="0.2">
      <c r="A5" s="1338" t="s">
        <v>191</v>
      </c>
      <c r="B5" s="1338"/>
      <c r="C5" s="1338"/>
      <c r="D5" s="1338"/>
      <c r="E5" s="1338"/>
      <c r="F5" s="1338"/>
      <c r="G5" s="1338"/>
      <c r="H5" s="1338"/>
      <c r="I5" s="1338"/>
      <c r="J5" s="1338"/>
      <c r="K5" s="1338"/>
      <c r="L5" s="1338"/>
      <c r="M5" s="1338"/>
      <c r="N5" s="1338"/>
      <c r="O5" s="1338"/>
      <c r="P5" s="1338"/>
      <c r="Q5" s="1338"/>
      <c r="R5" s="1338"/>
      <c r="S5" s="1338"/>
    </row>
    <row r="6" spans="1:19" s="99" customFormat="1" ht="12.75" customHeight="1" x14ac:dyDescent="0.2">
      <c r="A6" s="1215" t="s">
        <v>1105</v>
      </c>
      <c r="B6" s="1215"/>
      <c r="C6" s="1215"/>
      <c r="D6" s="1215"/>
      <c r="E6" s="1215"/>
      <c r="F6" s="1215"/>
      <c r="G6" s="1215"/>
      <c r="H6" s="1215"/>
      <c r="I6" s="1215"/>
      <c r="J6" s="1215"/>
      <c r="K6" s="1215"/>
      <c r="L6" s="1215"/>
      <c r="M6" s="1215"/>
      <c r="N6" s="1215"/>
      <c r="O6" s="1215"/>
      <c r="P6" s="1215"/>
      <c r="Q6" s="1215"/>
      <c r="R6" s="1215"/>
      <c r="S6" s="1215"/>
    </row>
    <row r="7" spans="1:19" s="99" customFormat="1" x14ac:dyDescent="0.2">
      <c r="A7" s="122"/>
      <c r="B7" s="1226" t="s">
        <v>311</v>
      </c>
      <c r="C7" s="1226"/>
      <c r="D7" s="1226"/>
      <c r="E7" s="1226"/>
      <c r="F7" s="1226"/>
      <c r="G7" s="1226"/>
      <c r="H7" s="1226"/>
      <c r="I7" s="1226"/>
      <c r="J7" s="1226"/>
      <c r="K7" s="1226"/>
      <c r="L7" s="1226"/>
      <c r="M7" s="1226"/>
      <c r="N7" s="1226"/>
      <c r="O7" s="1226"/>
      <c r="P7" s="1226"/>
      <c r="Q7" s="1226"/>
      <c r="R7" s="1226"/>
      <c r="S7" s="1226"/>
    </row>
    <row r="8" spans="1:19" s="99" customFormat="1" ht="12.75" customHeight="1" x14ac:dyDescent="0.2">
      <c r="A8" s="1574" t="s">
        <v>56</v>
      </c>
      <c r="B8" s="1572" t="s">
        <v>57</v>
      </c>
      <c r="C8" s="1436" t="s">
        <v>58</v>
      </c>
      <c r="D8" s="1436"/>
      <c r="E8" s="1436"/>
      <c r="F8" s="1436"/>
      <c r="G8" s="1436"/>
      <c r="H8" s="1436"/>
      <c r="I8" s="1436"/>
      <c r="J8" s="1436"/>
      <c r="K8" s="1578" t="s">
        <v>59</v>
      </c>
      <c r="L8" s="1433" t="s">
        <v>60</v>
      </c>
      <c r="M8" s="1434"/>
      <c r="N8" s="1434"/>
      <c r="O8" s="1434"/>
      <c r="P8" s="1434"/>
      <c r="Q8" s="1434"/>
      <c r="R8" s="1434"/>
      <c r="S8" s="1435"/>
    </row>
    <row r="9" spans="1:19" s="99" customFormat="1" ht="12.75" customHeight="1" x14ac:dyDescent="0.2">
      <c r="A9" s="1575"/>
      <c r="B9" s="1573"/>
      <c r="C9" s="1228" t="s">
        <v>1316</v>
      </c>
      <c r="D9" s="1228"/>
      <c r="E9" s="1229"/>
      <c r="F9" s="1220" t="s">
        <v>1293</v>
      </c>
      <c r="G9" s="1220"/>
      <c r="H9" s="1222" t="s">
        <v>1315</v>
      </c>
      <c r="I9" s="1223"/>
      <c r="J9" s="1224"/>
      <c r="K9" s="1219"/>
      <c r="L9" s="1228" t="s">
        <v>1316</v>
      </c>
      <c r="M9" s="1228"/>
      <c r="N9" s="1229"/>
      <c r="O9" s="1220" t="s">
        <v>1293</v>
      </c>
      <c r="P9" s="1220"/>
      <c r="Q9" s="1222" t="s">
        <v>1315</v>
      </c>
      <c r="R9" s="1223"/>
      <c r="S9" s="1224"/>
    </row>
    <row r="10" spans="1:19" s="219" customFormat="1" ht="36.6" customHeight="1" x14ac:dyDescent="0.2">
      <c r="A10" s="1576"/>
      <c r="B10" s="1567" t="s">
        <v>61</v>
      </c>
      <c r="C10" s="1532" t="s">
        <v>62</v>
      </c>
      <c r="D10" s="1532" t="s">
        <v>63</v>
      </c>
      <c r="E10" s="1532" t="s">
        <v>64</v>
      </c>
      <c r="F10" s="1534" t="s">
        <v>62</v>
      </c>
      <c r="G10" s="1534" t="s">
        <v>63</v>
      </c>
      <c r="H10" s="1532" t="s">
        <v>62</v>
      </c>
      <c r="I10" s="1532" t="s">
        <v>63</v>
      </c>
      <c r="J10" s="1535" t="s">
        <v>64</v>
      </c>
      <c r="K10" s="1579" t="s">
        <v>65</v>
      </c>
      <c r="L10" s="1570" t="s">
        <v>62</v>
      </c>
      <c r="M10" s="1570" t="s">
        <v>63</v>
      </c>
      <c r="N10" s="1571" t="s">
        <v>64</v>
      </c>
      <c r="O10" s="757" t="s">
        <v>62</v>
      </c>
      <c r="P10" s="757" t="s">
        <v>63</v>
      </c>
      <c r="Q10" s="757" t="s">
        <v>62</v>
      </c>
      <c r="R10" s="757" t="s">
        <v>63</v>
      </c>
      <c r="S10" s="757" t="s">
        <v>64</v>
      </c>
    </row>
    <row r="11" spans="1:19" ht="11.45" customHeight="1" x14ac:dyDescent="0.2">
      <c r="A11" s="1544">
        <v>1</v>
      </c>
      <c r="B11" s="1488" t="s">
        <v>24</v>
      </c>
      <c r="C11" s="127"/>
      <c r="D11" s="127"/>
      <c r="E11" s="127"/>
      <c r="F11" s="127"/>
      <c r="G11" s="127"/>
      <c r="H11" s="127"/>
      <c r="I11" s="127"/>
      <c r="J11" s="1516"/>
      <c r="K11" s="1580" t="s">
        <v>25</v>
      </c>
      <c r="L11" s="1510"/>
      <c r="M11" s="1510"/>
      <c r="N11" s="1506"/>
      <c r="O11" s="209"/>
      <c r="P11" s="209"/>
      <c r="Q11" s="209"/>
      <c r="R11" s="209"/>
      <c r="S11" s="1554"/>
    </row>
    <row r="12" spans="1:19" x14ac:dyDescent="0.2">
      <c r="A12" s="1544">
        <f t="shared" ref="A12:A54" si="0">A11+1</f>
        <v>2</v>
      </c>
      <c r="B12" s="124" t="s">
        <v>35</v>
      </c>
      <c r="C12" s="96"/>
      <c r="D12" s="96"/>
      <c r="E12" s="96">
        <f>SUM(C12:D12)</f>
        <v>0</v>
      </c>
      <c r="F12" s="96"/>
      <c r="G12" s="96"/>
      <c r="H12" s="96"/>
      <c r="I12" s="96"/>
      <c r="J12" s="336"/>
      <c r="K12" s="107" t="s">
        <v>223</v>
      </c>
      <c r="L12" s="203">
        <v>85000</v>
      </c>
      <c r="M12" s="203">
        <v>5496</v>
      </c>
      <c r="N12" s="1491">
        <f>SUM(L12:M12)</f>
        <v>90496</v>
      </c>
      <c r="O12" s="209">
        <v>300</v>
      </c>
      <c r="P12" s="209"/>
      <c r="Q12" s="1506">
        <f>L12+O12</f>
        <v>85300</v>
      </c>
      <c r="R12" s="1506">
        <f>M12+P12</f>
        <v>5496</v>
      </c>
      <c r="S12" s="1530">
        <f>Q12+R12</f>
        <v>90796</v>
      </c>
    </row>
    <row r="13" spans="1:19" x14ac:dyDescent="0.2">
      <c r="A13" s="1544">
        <f t="shared" si="0"/>
        <v>3</v>
      </c>
      <c r="B13" s="124" t="s">
        <v>36</v>
      </c>
      <c r="C13" s="96"/>
      <c r="D13" s="96"/>
      <c r="E13" s="96">
        <f>SUM(C13:D13)</f>
        <v>0</v>
      </c>
      <c r="F13" s="96"/>
      <c r="G13" s="96"/>
      <c r="H13" s="96"/>
      <c r="I13" s="96"/>
      <c r="J13" s="336"/>
      <c r="K13" s="1581" t="s">
        <v>224</v>
      </c>
      <c r="L13" s="203">
        <v>16138</v>
      </c>
      <c r="M13" s="203">
        <v>1702</v>
      </c>
      <c r="N13" s="1491">
        <f>SUM(L13:M13)</f>
        <v>17840</v>
      </c>
      <c r="O13" s="209">
        <v>59</v>
      </c>
      <c r="P13" s="209"/>
      <c r="Q13" s="1506">
        <f t="shared" ref="Q13:Q24" si="1">L13+O13</f>
        <v>16197</v>
      </c>
      <c r="R13" s="1506">
        <f t="shared" ref="R13:R24" si="2">M13+P13</f>
        <v>1702</v>
      </c>
      <c r="S13" s="1530">
        <f t="shared" ref="S13:S24" si="3">Q13+R13</f>
        <v>17899</v>
      </c>
    </row>
    <row r="14" spans="1:19" x14ac:dyDescent="0.2">
      <c r="A14" s="1544">
        <f t="shared" si="0"/>
        <v>4</v>
      </c>
      <c r="B14" s="124" t="s">
        <v>37</v>
      </c>
      <c r="C14" s="96"/>
      <c r="D14" s="96"/>
      <c r="E14" s="96">
        <f>SUM(C14:D14)</f>
        <v>0</v>
      </c>
      <c r="F14" s="96"/>
      <c r="G14" s="96"/>
      <c r="H14" s="96"/>
      <c r="I14" s="96"/>
      <c r="J14" s="336"/>
      <c r="K14" s="107" t="s">
        <v>225</v>
      </c>
      <c r="L14" s="203">
        <v>13997</v>
      </c>
      <c r="M14" s="203"/>
      <c r="N14" s="1491">
        <f>SUM(L14:M14)</f>
        <v>13997</v>
      </c>
      <c r="O14" s="209">
        <v>18</v>
      </c>
      <c r="P14" s="209"/>
      <c r="Q14" s="1506">
        <f t="shared" si="1"/>
        <v>14015</v>
      </c>
      <c r="R14" s="1506">
        <f t="shared" si="2"/>
        <v>0</v>
      </c>
      <c r="S14" s="1530">
        <f t="shared" si="3"/>
        <v>14015</v>
      </c>
    </row>
    <row r="15" spans="1:19" ht="12" customHeight="1" x14ac:dyDescent="0.2">
      <c r="A15" s="1544">
        <f t="shared" si="0"/>
        <v>5</v>
      </c>
      <c r="B15" s="1539"/>
      <c r="C15" s="96"/>
      <c r="D15" s="96"/>
      <c r="E15" s="96"/>
      <c r="F15" s="96"/>
      <c r="G15" s="96"/>
      <c r="H15" s="96"/>
      <c r="I15" s="96"/>
      <c r="J15" s="336"/>
      <c r="K15" s="107"/>
      <c r="L15" s="203"/>
      <c r="M15" s="203"/>
      <c r="N15" s="203"/>
      <c r="O15" s="209"/>
      <c r="P15" s="209"/>
      <c r="Q15" s="1506"/>
      <c r="R15" s="1506"/>
      <c r="S15" s="1530"/>
    </row>
    <row r="16" spans="1:19" x14ac:dyDescent="0.2">
      <c r="A16" s="1544">
        <f t="shared" si="0"/>
        <v>6</v>
      </c>
      <c r="B16" s="124" t="s">
        <v>38</v>
      </c>
      <c r="C16" s="96"/>
      <c r="D16" s="96"/>
      <c r="E16" s="96">
        <f>SUM(C16:D16)</f>
        <v>0</v>
      </c>
      <c r="F16" s="96"/>
      <c r="G16" s="96"/>
      <c r="H16" s="96"/>
      <c r="I16" s="96"/>
      <c r="J16" s="336"/>
      <c r="K16" s="107" t="s">
        <v>28</v>
      </c>
      <c r="L16" s="1506"/>
      <c r="M16" s="1506"/>
      <c r="N16" s="1506"/>
      <c r="O16" s="209"/>
      <c r="P16" s="209"/>
      <c r="Q16" s="1506"/>
      <c r="R16" s="1506"/>
      <c r="S16" s="1530"/>
    </row>
    <row r="17" spans="1:19" x14ac:dyDescent="0.2">
      <c r="A17" s="1544">
        <f t="shared" si="0"/>
        <v>7</v>
      </c>
      <c r="B17" s="124"/>
      <c r="C17" s="96"/>
      <c r="D17" s="96"/>
      <c r="E17" s="96"/>
      <c r="F17" s="96"/>
      <c r="G17" s="96"/>
      <c r="H17" s="96"/>
      <c r="I17" s="96"/>
      <c r="J17" s="336"/>
      <c r="K17" s="107" t="s">
        <v>30</v>
      </c>
      <c r="L17" s="1506"/>
      <c r="M17" s="1506"/>
      <c r="N17" s="1506"/>
      <c r="O17" s="209"/>
      <c r="P17" s="209"/>
      <c r="Q17" s="1506"/>
      <c r="R17" s="1506"/>
      <c r="S17" s="1530"/>
    </row>
    <row r="18" spans="1:19" x14ac:dyDescent="0.2">
      <c r="A18" s="1544">
        <f t="shared" si="0"/>
        <v>8</v>
      </c>
      <c r="B18" s="124" t="s">
        <v>39</v>
      </c>
      <c r="C18" s="96"/>
      <c r="D18" s="96"/>
      <c r="E18" s="96">
        <f>SUM(C18:D18)</f>
        <v>0</v>
      </c>
      <c r="F18" s="96"/>
      <c r="G18" s="96"/>
      <c r="H18" s="96"/>
      <c r="I18" s="96"/>
      <c r="J18" s="336"/>
      <c r="K18" s="107" t="s">
        <v>461</v>
      </c>
      <c r="L18" s="1506"/>
      <c r="M18" s="1506"/>
      <c r="N18" s="1506"/>
      <c r="O18" s="209"/>
      <c r="P18" s="209"/>
      <c r="Q18" s="1506"/>
      <c r="R18" s="1506"/>
      <c r="S18" s="1530"/>
    </row>
    <row r="19" spans="1:19" x14ac:dyDescent="0.2">
      <c r="A19" s="1544">
        <f t="shared" si="0"/>
        <v>9</v>
      </c>
      <c r="B19" s="126" t="s">
        <v>40</v>
      </c>
      <c r="C19" s="1538"/>
      <c r="D19" s="1538"/>
      <c r="E19" s="1538"/>
      <c r="F19" s="1538"/>
      <c r="G19" s="1538"/>
      <c r="H19" s="1538"/>
      <c r="I19" s="1538"/>
      <c r="J19" s="1548"/>
      <c r="K19" s="107" t="s">
        <v>460</v>
      </c>
      <c r="L19" s="1506"/>
      <c r="M19" s="1506"/>
      <c r="N19" s="1506"/>
      <c r="O19" s="209"/>
      <c r="P19" s="209"/>
      <c r="Q19" s="1506"/>
      <c r="R19" s="1506"/>
      <c r="S19" s="1530"/>
    </row>
    <row r="20" spans="1:19" x14ac:dyDescent="0.2">
      <c r="A20" s="1544">
        <f t="shared" si="0"/>
        <v>10</v>
      </c>
      <c r="B20" s="124" t="s">
        <v>41</v>
      </c>
      <c r="C20" s="1538"/>
      <c r="D20" s="1538"/>
      <c r="E20" s="1538">
        <f>SUM(C20:D20)</f>
        <v>0</v>
      </c>
      <c r="F20" s="1538">
        <v>18</v>
      </c>
      <c r="G20" s="1538"/>
      <c r="H20" s="1538">
        <f>C20+F20</f>
        <v>18</v>
      </c>
      <c r="I20" s="1538"/>
      <c r="J20" s="1548">
        <f>H20+I20</f>
        <v>18</v>
      </c>
      <c r="K20" s="1582" t="s">
        <v>961</v>
      </c>
      <c r="L20" s="1506"/>
      <c r="M20" s="1506"/>
      <c r="N20" s="1506"/>
      <c r="O20" s="209"/>
      <c r="P20" s="209"/>
      <c r="Q20" s="1506"/>
      <c r="R20" s="1506"/>
      <c r="S20" s="1530"/>
    </row>
    <row r="21" spans="1:19" x14ac:dyDescent="0.2">
      <c r="A21" s="1544">
        <f t="shared" si="0"/>
        <v>11</v>
      </c>
      <c r="B21" s="1492"/>
      <c r="C21" s="1538"/>
      <c r="D21" s="1538"/>
      <c r="E21" s="1538"/>
      <c r="F21" s="1538"/>
      <c r="G21" s="1538"/>
      <c r="H21" s="1538"/>
      <c r="I21" s="1538"/>
      <c r="J21" s="1548"/>
      <c r="K21" s="107" t="s">
        <v>962</v>
      </c>
      <c r="L21" s="1506"/>
      <c r="M21" s="1506"/>
      <c r="N21" s="1506"/>
      <c r="O21" s="209"/>
      <c r="P21" s="209"/>
      <c r="Q21" s="1506"/>
      <c r="R21" s="1506"/>
      <c r="S21" s="1530"/>
    </row>
    <row r="22" spans="1:19" s="101" customFormat="1" x14ac:dyDescent="0.2">
      <c r="A22" s="1544">
        <f t="shared" si="0"/>
        <v>12</v>
      </c>
      <c r="B22" s="1492" t="s">
        <v>42</v>
      </c>
      <c r="C22" s="1538"/>
      <c r="D22" s="1538"/>
      <c r="E22" s="1538"/>
      <c r="F22" s="1538"/>
      <c r="G22" s="1538"/>
      <c r="H22" s="1538"/>
      <c r="I22" s="1538"/>
      <c r="J22" s="1548"/>
      <c r="K22" s="107" t="s">
        <v>963</v>
      </c>
      <c r="L22" s="1506"/>
      <c r="M22" s="1506"/>
      <c r="N22" s="1506"/>
      <c r="O22" s="1508"/>
      <c r="P22" s="1508"/>
      <c r="Q22" s="1506"/>
      <c r="R22" s="1506"/>
      <c r="S22" s="1530"/>
    </row>
    <row r="23" spans="1:19" s="101" customFormat="1" x14ac:dyDescent="0.2">
      <c r="A23" s="1544">
        <f t="shared" si="0"/>
        <v>13</v>
      </c>
      <c r="B23" s="1492" t="s">
        <v>43</v>
      </c>
      <c r="C23" s="1538"/>
      <c r="D23" s="1538"/>
      <c r="E23" s="1538"/>
      <c r="F23" s="1538"/>
      <c r="G23" s="1538"/>
      <c r="H23" s="1538"/>
      <c r="I23" s="1538"/>
      <c r="J23" s="1548"/>
      <c r="K23" s="1582"/>
      <c r="L23" s="1506"/>
      <c r="M23" s="1506"/>
      <c r="N23" s="1506"/>
      <c r="O23" s="1508"/>
      <c r="P23" s="1508"/>
      <c r="Q23" s="1506"/>
      <c r="R23" s="1506"/>
      <c r="S23" s="1530"/>
    </row>
    <row r="24" spans="1:19" x14ac:dyDescent="0.2">
      <c r="A24" s="1544">
        <f t="shared" si="0"/>
        <v>14</v>
      </c>
      <c r="B24" s="124" t="s">
        <v>44</v>
      </c>
      <c r="C24" s="1540"/>
      <c r="D24" s="1540"/>
      <c r="E24" s="1540"/>
      <c r="F24" s="1540"/>
      <c r="G24" s="1540"/>
      <c r="H24" s="1540"/>
      <c r="I24" s="1540"/>
      <c r="J24" s="1550"/>
      <c r="K24" s="1583" t="s">
        <v>66</v>
      </c>
      <c r="L24" s="1509">
        <f>SUM(L12:L22)</f>
        <v>115135</v>
      </c>
      <c r="M24" s="1509">
        <f>SUM(M12:M22)</f>
        <v>7198</v>
      </c>
      <c r="N24" s="1509">
        <f>SUM(N12:N22)</f>
        <v>122333</v>
      </c>
      <c r="O24" s="1509">
        <f t="shared" ref="O24:P24" si="4">SUM(O12:O22)</f>
        <v>377</v>
      </c>
      <c r="P24" s="1509">
        <f t="shared" si="4"/>
        <v>0</v>
      </c>
      <c r="Q24" s="1506">
        <f t="shared" si="1"/>
        <v>115512</v>
      </c>
      <c r="R24" s="1506">
        <f t="shared" si="2"/>
        <v>7198</v>
      </c>
      <c r="S24" s="1530">
        <f t="shared" si="3"/>
        <v>122710</v>
      </c>
    </row>
    <row r="25" spans="1:19" x14ac:dyDescent="0.2">
      <c r="A25" s="1544">
        <f t="shared" si="0"/>
        <v>15</v>
      </c>
      <c r="B25" s="124" t="s">
        <v>45</v>
      </c>
      <c r="C25" s="1538"/>
      <c r="D25" s="1538"/>
      <c r="E25" s="1538"/>
      <c r="F25" s="1538"/>
      <c r="G25" s="1538"/>
      <c r="H25" s="1538"/>
      <c r="I25" s="1538"/>
      <c r="J25" s="1548"/>
      <c r="K25" s="1582"/>
      <c r="L25" s="1506"/>
      <c r="M25" s="1506"/>
      <c r="N25" s="1506"/>
      <c r="O25" s="209"/>
      <c r="P25" s="209"/>
      <c r="Q25" s="209"/>
      <c r="R25" s="209"/>
      <c r="S25" s="1554"/>
    </row>
    <row r="26" spans="1:19" x14ac:dyDescent="0.2">
      <c r="A26" s="1544">
        <f t="shared" si="0"/>
        <v>16</v>
      </c>
      <c r="B26" s="124" t="s">
        <v>46</v>
      </c>
      <c r="C26" s="1499"/>
      <c r="D26" s="1499"/>
      <c r="E26" s="1499"/>
      <c r="F26" s="1499"/>
      <c r="G26" s="1499"/>
      <c r="H26" s="1499"/>
      <c r="I26" s="1499"/>
      <c r="J26" s="374"/>
      <c r="K26" s="1580" t="s">
        <v>34</v>
      </c>
      <c r="L26" s="1510"/>
      <c r="M26" s="1510"/>
      <c r="N26" s="1506"/>
      <c r="O26" s="209"/>
      <c r="P26" s="209"/>
      <c r="Q26" s="209"/>
      <c r="R26" s="209"/>
      <c r="S26" s="1554"/>
    </row>
    <row r="27" spans="1:19" x14ac:dyDescent="0.2">
      <c r="A27" s="1544">
        <f t="shared" si="0"/>
        <v>17</v>
      </c>
      <c r="B27" s="124" t="s">
        <v>47</v>
      </c>
      <c r="C27" s="96"/>
      <c r="D27" s="96"/>
      <c r="E27" s="96"/>
      <c r="F27" s="96"/>
      <c r="G27" s="96"/>
      <c r="H27" s="96"/>
      <c r="I27" s="96"/>
      <c r="J27" s="336"/>
      <c r="K27" s="107" t="s">
        <v>234</v>
      </c>
      <c r="L27" s="1506">
        <f>'felhalm. kiad.  '!M146</f>
        <v>1400</v>
      </c>
      <c r="M27" s="1506">
        <f>'felhalm. kiad.  '!P146</f>
        <v>0</v>
      </c>
      <c r="N27" s="1506">
        <f>SUM(L27:M27)</f>
        <v>1400</v>
      </c>
      <c r="O27" s="209"/>
      <c r="P27" s="209"/>
      <c r="Q27" s="1506">
        <f>L27+O27</f>
        <v>1400</v>
      </c>
      <c r="R27" s="209"/>
      <c r="S27" s="1530">
        <f>Q27+R27</f>
        <v>1400</v>
      </c>
    </row>
    <row r="28" spans="1:19" x14ac:dyDescent="0.2">
      <c r="A28" s="1544">
        <f t="shared" si="0"/>
        <v>18</v>
      </c>
      <c r="B28" s="124"/>
      <c r="C28" s="96"/>
      <c r="D28" s="96"/>
      <c r="E28" s="96"/>
      <c r="F28" s="96"/>
      <c r="G28" s="96"/>
      <c r="H28" s="96"/>
      <c r="I28" s="96"/>
      <c r="J28" s="336"/>
      <c r="K28" s="107" t="s">
        <v>31</v>
      </c>
      <c r="L28" s="1506"/>
      <c r="M28" s="1506"/>
      <c r="N28" s="1506"/>
      <c r="O28" s="209"/>
      <c r="P28" s="209"/>
      <c r="Q28" s="209"/>
      <c r="R28" s="209"/>
      <c r="S28" s="1554"/>
    </row>
    <row r="29" spans="1:19" x14ac:dyDescent="0.2">
      <c r="A29" s="1544">
        <f t="shared" si="0"/>
        <v>19</v>
      </c>
      <c r="B29" s="1492" t="s">
        <v>50</v>
      </c>
      <c r="C29" s="96"/>
      <c r="D29" s="96"/>
      <c r="E29" s="96"/>
      <c r="F29" s="96"/>
      <c r="G29" s="96"/>
      <c r="H29" s="96"/>
      <c r="I29" s="96"/>
      <c r="J29" s="336"/>
      <c r="K29" s="107" t="s">
        <v>32</v>
      </c>
      <c r="L29" s="1506"/>
      <c r="M29" s="1506"/>
      <c r="N29" s="1506"/>
      <c r="O29" s="209"/>
      <c r="P29" s="209"/>
      <c r="Q29" s="209"/>
      <c r="R29" s="209"/>
      <c r="S29" s="1554"/>
    </row>
    <row r="30" spans="1:19" s="101" customFormat="1" x14ac:dyDescent="0.2">
      <c r="A30" s="1544">
        <f t="shared" si="0"/>
        <v>20</v>
      </c>
      <c r="B30" s="1492" t="s">
        <v>48</v>
      </c>
      <c r="C30" s="96"/>
      <c r="D30" s="96"/>
      <c r="E30" s="96"/>
      <c r="F30" s="96"/>
      <c r="G30" s="96"/>
      <c r="H30" s="96"/>
      <c r="I30" s="96"/>
      <c r="J30" s="336"/>
      <c r="K30" s="107" t="s">
        <v>462</v>
      </c>
      <c r="L30" s="1506"/>
      <c r="M30" s="1506"/>
      <c r="N30" s="1506"/>
      <c r="O30" s="1508"/>
      <c r="P30" s="1508"/>
      <c r="Q30" s="1508"/>
      <c r="R30" s="1508"/>
      <c r="S30" s="1555"/>
    </row>
    <row r="31" spans="1:19" x14ac:dyDescent="0.2">
      <c r="A31" s="1544">
        <f t="shared" si="0"/>
        <v>21</v>
      </c>
      <c r="B31" s="1492"/>
      <c r="C31" s="96"/>
      <c r="D31" s="96"/>
      <c r="E31" s="96"/>
      <c r="F31" s="96"/>
      <c r="G31" s="96"/>
      <c r="H31" s="96"/>
      <c r="I31" s="96"/>
      <c r="J31" s="336"/>
      <c r="K31" s="107" t="s">
        <v>459</v>
      </c>
      <c r="L31" s="1506"/>
      <c r="M31" s="1506"/>
      <c r="N31" s="1506"/>
      <c r="O31" s="209"/>
      <c r="P31" s="209"/>
      <c r="Q31" s="209"/>
      <c r="R31" s="209"/>
      <c r="S31" s="1554"/>
    </row>
    <row r="32" spans="1:19" s="11" customFormat="1" x14ac:dyDescent="0.2">
      <c r="A32" s="1544">
        <f t="shared" si="0"/>
        <v>22</v>
      </c>
      <c r="B32" s="1495" t="s">
        <v>52</v>
      </c>
      <c r="C32" s="1538">
        <f>C14+C20</f>
        <v>0</v>
      </c>
      <c r="D32" s="1538">
        <f>D14+D20</f>
        <v>0</v>
      </c>
      <c r="E32" s="1538">
        <f>E14+E20</f>
        <v>0</v>
      </c>
      <c r="F32" s="1538">
        <f>F20</f>
        <v>18</v>
      </c>
      <c r="G32" s="1538">
        <f t="shared" ref="G32:J32" si="5">G20</f>
        <v>0</v>
      </c>
      <c r="H32" s="1538">
        <f t="shared" si="5"/>
        <v>18</v>
      </c>
      <c r="I32" s="1538">
        <f t="shared" si="5"/>
        <v>0</v>
      </c>
      <c r="J32" s="1548">
        <f t="shared" si="5"/>
        <v>18</v>
      </c>
      <c r="K32" s="107" t="s">
        <v>455</v>
      </c>
      <c r="L32" s="1506"/>
      <c r="M32" s="1506"/>
      <c r="N32" s="1506"/>
      <c r="O32" s="1512"/>
      <c r="P32" s="1512"/>
      <c r="Q32" s="1512"/>
      <c r="R32" s="1512"/>
      <c r="S32" s="1556"/>
    </row>
    <row r="33" spans="1:19" x14ac:dyDescent="0.2">
      <c r="A33" s="1544">
        <f t="shared" si="0"/>
        <v>23</v>
      </c>
      <c r="B33" s="1525" t="s">
        <v>67</v>
      </c>
      <c r="C33" s="1511"/>
      <c r="D33" s="1511"/>
      <c r="E33" s="1511"/>
      <c r="F33" s="1511"/>
      <c r="G33" s="1511"/>
      <c r="H33" s="1511"/>
      <c r="I33" s="1511"/>
      <c r="J33" s="1577"/>
      <c r="K33" s="1584" t="s">
        <v>68</v>
      </c>
      <c r="L33" s="1523">
        <f>SUM(L27:L32)</f>
        <v>1400</v>
      </c>
      <c r="M33" s="1523">
        <f>SUM(M27:M32)</f>
        <v>0</v>
      </c>
      <c r="N33" s="1523">
        <f>SUM(N27:N31)</f>
        <v>1400</v>
      </c>
      <c r="O33" s="1523">
        <f t="shared" ref="O33:S33" si="6">SUM(O27:O31)</f>
        <v>0</v>
      </c>
      <c r="P33" s="1523">
        <f t="shared" si="6"/>
        <v>0</v>
      </c>
      <c r="Q33" s="1523">
        <f t="shared" si="6"/>
        <v>1400</v>
      </c>
      <c r="R33" s="1523">
        <f t="shared" si="6"/>
        <v>0</v>
      </c>
      <c r="S33" s="1551">
        <f t="shared" si="6"/>
        <v>1400</v>
      </c>
    </row>
    <row r="34" spans="1:19" x14ac:dyDescent="0.2">
      <c r="A34" s="1544">
        <f t="shared" si="0"/>
        <v>24</v>
      </c>
      <c r="B34" s="129" t="s">
        <v>51</v>
      </c>
      <c r="C34" s="127">
        <f>SUM(C32:C33)</f>
        <v>0</v>
      </c>
      <c r="D34" s="127">
        <f>SUM(D32:D33)</f>
        <v>0</v>
      </c>
      <c r="E34" s="127">
        <f>SUM(C34:D34)</f>
        <v>0</v>
      </c>
      <c r="F34" s="127">
        <f>F32+F33</f>
        <v>18</v>
      </c>
      <c r="G34" s="127">
        <f t="shared" ref="G34:J34" si="7">G32+G33</f>
        <v>0</v>
      </c>
      <c r="H34" s="127">
        <f t="shared" si="7"/>
        <v>18</v>
      </c>
      <c r="I34" s="127">
        <f t="shared" si="7"/>
        <v>0</v>
      </c>
      <c r="J34" s="1516">
        <f t="shared" si="7"/>
        <v>18</v>
      </c>
      <c r="K34" s="1585" t="s">
        <v>69</v>
      </c>
      <c r="L34" s="1510">
        <f>L24+L33</f>
        <v>116535</v>
      </c>
      <c r="M34" s="1510">
        <f>M24+M33</f>
        <v>7198</v>
      </c>
      <c r="N34" s="1510">
        <f>N24+N33</f>
        <v>123733</v>
      </c>
      <c r="O34" s="1510">
        <f t="shared" ref="O34:S34" si="8">O24+O33</f>
        <v>377</v>
      </c>
      <c r="P34" s="1510">
        <f t="shared" si="8"/>
        <v>0</v>
      </c>
      <c r="Q34" s="1510">
        <f t="shared" si="8"/>
        <v>116912</v>
      </c>
      <c r="R34" s="1510">
        <f t="shared" si="8"/>
        <v>7198</v>
      </c>
      <c r="S34" s="1529">
        <f t="shared" si="8"/>
        <v>124110</v>
      </c>
    </row>
    <row r="35" spans="1:19" x14ac:dyDescent="0.2">
      <c r="A35" s="1544">
        <f t="shared" si="0"/>
        <v>25</v>
      </c>
      <c r="B35" s="1492"/>
      <c r="C35" s="125"/>
      <c r="D35" s="125"/>
      <c r="E35" s="125"/>
      <c r="F35" s="125"/>
      <c r="G35" s="125"/>
      <c r="H35" s="125"/>
      <c r="I35" s="125"/>
      <c r="J35" s="1552"/>
      <c r="K35" s="1582"/>
      <c r="L35" s="1506"/>
      <c r="M35" s="1506"/>
      <c r="N35" s="1506"/>
      <c r="O35" s="209"/>
      <c r="P35" s="209"/>
      <c r="Q35" s="209"/>
      <c r="R35" s="209"/>
      <c r="S35" s="1554"/>
    </row>
    <row r="36" spans="1:19" x14ac:dyDescent="0.2">
      <c r="A36" s="1544">
        <f t="shared" si="0"/>
        <v>26</v>
      </c>
      <c r="B36" s="1492"/>
      <c r="C36" s="125"/>
      <c r="D36" s="125"/>
      <c r="E36" s="125"/>
      <c r="F36" s="125"/>
      <c r="G36" s="125"/>
      <c r="H36" s="125"/>
      <c r="I36" s="125"/>
      <c r="J36" s="1552"/>
      <c r="K36" s="1583"/>
      <c r="L36" s="1509"/>
      <c r="M36" s="1509"/>
      <c r="N36" s="1509"/>
      <c r="O36" s="209"/>
      <c r="P36" s="209"/>
      <c r="Q36" s="209"/>
      <c r="R36" s="209"/>
      <c r="S36" s="1554"/>
    </row>
    <row r="37" spans="1:19" s="11" customFormat="1" x14ac:dyDescent="0.2">
      <c r="A37" s="1544">
        <f t="shared" si="0"/>
        <v>27</v>
      </c>
      <c r="B37" s="1492"/>
      <c r="C37" s="125"/>
      <c r="D37" s="125"/>
      <c r="E37" s="125"/>
      <c r="F37" s="125"/>
      <c r="G37" s="125"/>
      <c r="H37" s="125"/>
      <c r="I37" s="125"/>
      <c r="J37" s="1552"/>
      <c r="K37" s="1582"/>
      <c r="L37" s="1506"/>
      <c r="M37" s="1506"/>
      <c r="N37" s="1506"/>
      <c r="O37" s="1512"/>
      <c r="P37" s="1512"/>
      <c r="Q37" s="1512"/>
      <c r="R37" s="1512"/>
      <c r="S37" s="1556"/>
    </row>
    <row r="38" spans="1:19" s="11" customFormat="1" x14ac:dyDescent="0.2">
      <c r="A38" s="1544">
        <f t="shared" si="0"/>
        <v>28</v>
      </c>
      <c r="B38" s="1499" t="s">
        <v>53</v>
      </c>
      <c r="C38" s="1499"/>
      <c r="D38" s="1499"/>
      <c r="E38" s="1499"/>
      <c r="F38" s="1499"/>
      <c r="G38" s="1499"/>
      <c r="H38" s="1499"/>
      <c r="I38" s="1499"/>
      <c r="J38" s="374"/>
      <c r="K38" s="1580" t="s">
        <v>33</v>
      </c>
      <c r="L38" s="1510"/>
      <c r="M38" s="1510"/>
      <c r="N38" s="1510"/>
      <c r="O38" s="1512"/>
      <c r="P38" s="1512"/>
      <c r="Q38" s="1512"/>
      <c r="R38" s="1512"/>
      <c r="S38" s="1556"/>
    </row>
    <row r="39" spans="1:19" s="11" customFormat="1" x14ac:dyDescent="0.2">
      <c r="A39" s="1544">
        <f t="shared" si="0"/>
        <v>29</v>
      </c>
      <c r="B39" s="1500" t="s">
        <v>710</v>
      </c>
      <c r="C39" s="1499"/>
      <c r="D39" s="1499"/>
      <c r="E39" s="1499"/>
      <c r="F39" s="1499"/>
      <c r="G39" s="1499"/>
      <c r="H39" s="1499"/>
      <c r="I39" s="1499"/>
      <c r="J39" s="374"/>
      <c r="K39" s="1586" t="s">
        <v>4</v>
      </c>
      <c r="L39" s="1510"/>
      <c r="M39" s="1512"/>
      <c r="N39" s="1512"/>
      <c r="O39" s="1512"/>
      <c r="P39" s="1512"/>
      <c r="Q39" s="1512"/>
      <c r="R39" s="1512"/>
      <c r="S39" s="1556"/>
    </row>
    <row r="40" spans="1:19" s="11" customFormat="1" x14ac:dyDescent="0.2">
      <c r="A40" s="1544">
        <f t="shared" si="0"/>
        <v>30</v>
      </c>
      <c r="B40" s="124" t="s">
        <v>997</v>
      </c>
      <c r="C40" s="1499"/>
      <c r="D40" s="1499"/>
      <c r="E40" s="1499"/>
      <c r="F40" s="1499"/>
      <c r="G40" s="1499"/>
      <c r="H40" s="1499"/>
      <c r="I40" s="1499"/>
      <c r="J40" s="374"/>
      <c r="K40" s="1587" t="s">
        <v>3</v>
      </c>
      <c r="L40" s="1510"/>
      <c r="M40" s="1510"/>
      <c r="N40" s="1510"/>
      <c r="O40" s="1512"/>
      <c r="P40" s="1512"/>
      <c r="Q40" s="1512"/>
      <c r="R40" s="1512"/>
      <c r="S40" s="1556"/>
    </row>
    <row r="41" spans="1:19" x14ac:dyDescent="0.2">
      <c r="A41" s="1544">
        <f t="shared" si="0"/>
        <v>31</v>
      </c>
      <c r="B41" s="96" t="s">
        <v>712</v>
      </c>
      <c r="C41" s="1543"/>
      <c r="D41" s="1543"/>
      <c r="E41" s="1543"/>
      <c r="F41" s="1543"/>
      <c r="G41" s="1543"/>
      <c r="H41" s="1543"/>
      <c r="I41" s="1543"/>
      <c r="J41" s="1553"/>
      <c r="K41" s="107" t="s">
        <v>5</v>
      </c>
      <c r="L41" s="1510"/>
      <c r="M41" s="1510"/>
      <c r="N41" s="1510"/>
      <c r="O41" s="209"/>
      <c r="P41" s="209"/>
      <c r="Q41" s="209"/>
      <c r="R41" s="209"/>
      <c r="S41" s="1554"/>
    </row>
    <row r="42" spans="1:19" x14ac:dyDescent="0.2">
      <c r="A42" s="1544">
        <f t="shared" si="0"/>
        <v>32</v>
      </c>
      <c r="B42" s="96" t="s">
        <v>215</v>
      </c>
      <c r="C42" s="96"/>
      <c r="D42" s="96"/>
      <c r="E42" s="96"/>
      <c r="F42" s="96"/>
      <c r="G42" s="96"/>
      <c r="H42" s="96"/>
      <c r="I42" s="96"/>
      <c r="J42" s="336"/>
      <c r="K42" s="107" t="s">
        <v>6</v>
      </c>
      <c r="L42" s="1510"/>
      <c r="M42" s="1510"/>
      <c r="N42" s="1510"/>
      <c r="O42" s="209"/>
      <c r="P42" s="209"/>
      <c r="Q42" s="209"/>
      <c r="R42" s="209"/>
      <c r="S42" s="1554"/>
    </row>
    <row r="43" spans="1:19" x14ac:dyDescent="0.2">
      <c r="A43" s="1544">
        <f t="shared" si="0"/>
        <v>33</v>
      </c>
      <c r="B43" s="1505" t="s">
        <v>216</v>
      </c>
      <c r="C43" s="96">
        <v>3</v>
      </c>
      <c r="D43" s="96"/>
      <c r="E43" s="96">
        <f>C43+D43</f>
        <v>3</v>
      </c>
      <c r="F43" s="96"/>
      <c r="G43" s="96"/>
      <c r="H43" s="96">
        <f>C43+F43</f>
        <v>3</v>
      </c>
      <c r="I43" s="96">
        <f>D43+G43</f>
        <v>0</v>
      </c>
      <c r="J43" s="336">
        <f>H43+I43</f>
        <v>3</v>
      </c>
      <c r="K43" s="107" t="s">
        <v>7</v>
      </c>
      <c r="L43" s="1510"/>
      <c r="M43" s="1510"/>
      <c r="N43" s="1510"/>
      <c r="O43" s="209"/>
      <c r="P43" s="209"/>
      <c r="Q43" s="209"/>
      <c r="R43" s="209"/>
      <c r="S43" s="1554"/>
    </row>
    <row r="44" spans="1:19" x14ac:dyDescent="0.2">
      <c r="A44" s="1544">
        <f t="shared" si="0"/>
        <v>34</v>
      </c>
      <c r="B44" s="1505" t="s">
        <v>993</v>
      </c>
      <c r="C44" s="96"/>
      <c r="D44" s="96"/>
      <c r="E44" s="96"/>
      <c r="F44" s="96"/>
      <c r="G44" s="96"/>
      <c r="H44" s="96"/>
      <c r="I44" s="96"/>
      <c r="J44" s="336"/>
      <c r="K44" s="107"/>
      <c r="L44" s="1510"/>
      <c r="M44" s="1510"/>
      <c r="N44" s="1510"/>
      <c r="O44" s="209"/>
      <c r="P44" s="209"/>
      <c r="Q44" s="209"/>
      <c r="R44" s="209"/>
      <c r="S44" s="1554"/>
    </row>
    <row r="45" spans="1:19" x14ac:dyDescent="0.2">
      <c r="A45" s="1544">
        <f t="shared" si="0"/>
        <v>35</v>
      </c>
      <c r="B45" s="96" t="s">
        <v>713</v>
      </c>
      <c r="C45" s="96"/>
      <c r="D45" s="96"/>
      <c r="E45" s="96"/>
      <c r="F45" s="96"/>
      <c r="G45" s="96"/>
      <c r="H45" s="96"/>
      <c r="I45" s="96"/>
      <c r="J45" s="336"/>
      <c r="K45" s="107" t="s">
        <v>8</v>
      </c>
      <c r="L45" s="1510"/>
      <c r="M45" s="1510"/>
      <c r="N45" s="1506"/>
      <c r="O45" s="209"/>
      <c r="P45" s="209"/>
      <c r="Q45" s="209"/>
      <c r="R45" s="209"/>
      <c r="S45" s="1554"/>
    </row>
    <row r="46" spans="1:19" x14ac:dyDescent="0.2">
      <c r="A46" s="1544">
        <f t="shared" si="0"/>
        <v>36</v>
      </c>
      <c r="B46" s="96" t="s">
        <v>714</v>
      </c>
      <c r="C46" s="1499"/>
      <c r="D46" s="1499"/>
      <c r="E46" s="1499"/>
      <c r="F46" s="1499"/>
      <c r="G46" s="1499"/>
      <c r="H46" s="1499"/>
      <c r="I46" s="1499"/>
      <c r="J46" s="374"/>
      <c r="K46" s="107" t="s">
        <v>9</v>
      </c>
      <c r="L46" s="1510"/>
      <c r="M46" s="1510"/>
      <c r="N46" s="1506"/>
      <c r="O46" s="209"/>
      <c r="P46" s="209"/>
      <c r="Q46" s="209"/>
      <c r="R46" s="209"/>
      <c r="S46" s="1554"/>
    </row>
    <row r="47" spans="1:19" x14ac:dyDescent="0.2">
      <c r="A47" s="1544">
        <f t="shared" si="0"/>
        <v>37</v>
      </c>
      <c r="B47" s="96" t="s">
        <v>219</v>
      </c>
      <c r="C47" s="96"/>
      <c r="D47" s="96"/>
      <c r="E47" s="96"/>
      <c r="F47" s="96"/>
      <c r="G47" s="96"/>
      <c r="H47" s="96"/>
      <c r="I47" s="96"/>
      <c r="J47" s="336"/>
      <c r="K47" s="107" t="s">
        <v>10</v>
      </c>
      <c r="L47" s="1506"/>
      <c r="M47" s="1506"/>
      <c r="N47" s="1506"/>
      <c r="O47" s="209"/>
      <c r="P47" s="209"/>
      <c r="Q47" s="209"/>
      <c r="R47" s="209"/>
      <c r="S47" s="1554"/>
    </row>
    <row r="48" spans="1:19" x14ac:dyDescent="0.2">
      <c r="A48" s="1544">
        <f t="shared" si="0"/>
        <v>38</v>
      </c>
      <c r="B48" s="1505" t="s">
        <v>220</v>
      </c>
      <c r="C48" s="96">
        <f>L24-(C34+C43)</f>
        <v>115132</v>
      </c>
      <c r="D48" s="96">
        <f>M24-(D34+D43)</f>
        <v>7198</v>
      </c>
      <c r="E48" s="96">
        <f>N24-(E34+E43)</f>
        <v>122330</v>
      </c>
      <c r="F48" s="96">
        <f t="shared" ref="F48:J48" si="9">O24-(F34+F43)</f>
        <v>359</v>
      </c>
      <c r="G48" s="96">
        <f t="shared" si="9"/>
        <v>0</v>
      </c>
      <c r="H48" s="96">
        <f t="shared" si="9"/>
        <v>115491</v>
      </c>
      <c r="I48" s="96">
        <f t="shared" si="9"/>
        <v>7198</v>
      </c>
      <c r="J48" s="336">
        <f t="shared" si="9"/>
        <v>122689</v>
      </c>
      <c r="K48" s="107" t="s">
        <v>11</v>
      </c>
      <c r="L48" s="1506"/>
      <c r="M48" s="1506"/>
      <c r="N48" s="1506"/>
      <c r="O48" s="209"/>
      <c r="P48" s="209"/>
      <c r="Q48" s="209"/>
      <c r="R48" s="209"/>
      <c r="S48" s="1554"/>
    </row>
    <row r="49" spans="1:19" x14ac:dyDescent="0.2">
      <c r="A49" s="1544">
        <f t="shared" si="0"/>
        <v>39</v>
      </c>
      <c r="B49" s="1505" t="s">
        <v>221</v>
      </c>
      <c r="C49" s="96">
        <f>L33-C33</f>
        <v>1400</v>
      </c>
      <c r="D49" s="96"/>
      <c r="E49" s="96">
        <f>N33-E33</f>
        <v>1400</v>
      </c>
      <c r="F49" s="96">
        <f t="shared" ref="F49:J49" si="10">O33-F33</f>
        <v>0</v>
      </c>
      <c r="G49" s="96">
        <f t="shared" si="10"/>
        <v>0</v>
      </c>
      <c r="H49" s="96">
        <f t="shared" si="10"/>
        <v>1400</v>
      </c>
      <c r="I49" s="96">
        <f t="shared" si="10"/>
        <v>0</v>
      </c>
      <c r="J49" s="336">
        <f t="shared" si="10"/>
        <v>1400</v>
      </c>
      <c r="K49" s="107" t="s">
        <v>12</v>
      </c>
      <c r="L49" s="1506"/>
      <c r="M49" s="1506"/>
      <c r="N49" s="1506"/>
      <c r="O49" s="209"/>
      <c r="P49" s="209"/>
      <c r="Q49" s="209"/>
      <c r="R49" s="209"/>
      <c r="S49" s="1554"/>
    </row>
    <row r="50" spans="1:19" x14ac:dyDescent="0.2">
      <c r="A50" s="1544">
        <f t="shared" si="0"/>
        <v>40</v>
      </c>
      <c r="B50" s="96" t="s">
        <v>1</v>
      </c>
      <c r="C50" s="96"/>
      <c r="D50" s="96"/>
      <c r="E50" s="96"/>
      <c r="F50" s="96"/>
      <c r="G50" s="96"/>
      <c r="H50" s="96"/>
      <c r="I50" s="96"/>
      <c r="J50" s="336"/>
      <c r="K50" s="107" t="s">
        <v>13</v>
      </c>
      <c r="L50" s="1506"/>
      <c r="M50" s="1506"/>
      <c r="N50" s="1506"/>
      <c r="O50" s="209"/>
      <c r="P50" s="209"/>
      <c r="Q50" s="209"/>
      <c r="R50" s="209"/>
      <c r="S50" s="1554"/>
    </row>
    <row r="51" spans="1:19" x14ac:dyDescent="0.2">
      <c r="A51" s="1544">
        <f t="shared" si="0"/>
        <v>41</v>
      </c>
      <c r="B51" s="96"/>
      <c r="C51" s="96"/>
      <c r="D51" s="96"/>
      <c r="E51" s="96"/>
      <c r="F51" s="96"/>
      <c r="G51" s="96"/>
      <c r="H51" s="96"/>
      <c r="I51" s="96"/>
      <c r="J51" s="336"/>
      <c r="K51" s="107" t="s">
        <v>14</v>
      </c>
      <c r="L51" s="1506"/>
      <c r="M51" s="1506"/>
      <c r="N51" s="1506"/>
      <c r="O51" s="209"/>
      <c r="P51" s="209"/>
      <c r="Q51" s="209"/>
      <c r="R51" s="209"/>
      <c r="S51" s="1554"/>
    </row>
    <row r="52" spans="1:19" x14ac:dyDescent="0.2">
      <c r="A52" s="1544">
        <f t="shared" si="0"/>
        <v>42</v>
      </c>
      <c r="B52" s="96"/>
      <c r="C52" s="96"/>
      <c r="D52" s="96"/>
      <c r="E52" s="96"/>
      <c r="F52" s="96"/>
      <c r="G52" s="96"/>
      <c r="H52" s="96"/>
      <c r="I52" s="96"/>
      <c r="J52" s="336"/>
      <c r="K52" s="107" t="s">
        <v>15</v>
      </c>
      <c r="L52" s="1506"/>
      <c r="M52" s="1506"/>
      <c r="N52" s="1506"/>
      <c r="O52" s="209"/>
      <c r="P52" s="209"/>
      <c r="Q52" s="209"/>
      <c r="R52" s="209"/>
      <c r="S52" s="1554"/>
    </row>
    <row r="53" spans="1:19" ht="12" thickBot="1" x14ac:dyDescent="0.25">
      <c r="A53" s="1544">
        <f t="shared" si="0"/>
        <v>43</v>
      </c>
      <c r="B53" s="129" t="s">
        <v>463</v>
      </c>
      <c r="C53" s="1499">
        <f>SUM(C39:C51)</f>
        <v>116535</v>
      </c>
      <c r="D53" s="1499">
        <f>SUM(D39:D51)</f>
        <v>7198</v>
      </c>
      <c r="E53" s="1499">
        <f>SUM(E39:E51)</f>
        <v>123733</v>
      </c>
      <c r="F53" s="1499">
        <f t="shared" ref="F53:J53" si="11">SUM(F39:F51)</f>
        <v>359</v>
      </c>
      <c r="G53" s="1499">
        <f t="shared" si="11"/>
        <v>0</v>
      </c>
      <c r="H53" s="1499">
        <f t="shared" si="11"/>
        <v>116894</v>
      </c>
      <c r="I53" s="1499">
        <f t="shared" si="11"/>
        <v>7198</v>
      </c>
      <c r="J53" s="374">
        <f t="shared" si="11"/>
        <v>124092</v>
      </c>
      <c r="K53" s="1580" t="s">
        <v>456</v>
      </c>
      <c r="L53" s="1510">
        <f>SUM(L39:L52)</f>
        <v>0</v>
      </c>
      <c r="M53" s="1510">
        <f>SUM(M39:M52)</f>
        <v>0</v>
      </c>
      <c r="N53" s="1510">
        <f>SUM(N39:N52)</f>
        <v>0</v>
      </c>
      <c r="O53" s="209"/>
      <c r="P53" s="209"/>
      <c r="Q53" s="209"/>
      <c r="R53" s="209"/>
      <c r="S53" s="1554"/>
    </row>
    <row r="54" spans="1:19" ht="12" thickBot="1" x14ac:dyDescent="0.25">
      <c r="A54" s="710">
        <f t="shared" si="0"/>
        <v>44</v>
      </c>
      <c r="B54" s="1520" t="s">
        <v>458</v>
      </c>
      <c r="C54" s="700">
        <f>C34+C53</f>
        <v>116535</v>
      </c>
      <c r="D54" s="700">
        <f>D34+D53</f>
        <v>7198</v>
      </c>
      <c r="E54" s="700">
        <f>E34+E53</f>
        <v>123733</v>
      </c>
      <c r="F54" s="700">
        <f t="shared" ref="F54:J54" si="12">F34+F53</f>
        <v>377</v>
      </c>
      <c r="G54" s="700">
        <f t="shared" si="12"/>
        <v>0</v>
      </c>
      <c r="H54" s="700">
        <f t="shared" si="12"/>
        <v>116912</v>
      </c>
      <c r="I54" s="700">
        <f t="shared" si="12"/>
        <v>7198</v>
      </c>
      <c r="J54" s="700">
        <f t="shared" si="12"/>
        <v>124110</v>
      </c>
      <c r="K54" s="709" t="s">
        <v>457</v>
      </c>
      <c r="L54" s="708">
        <f>L34+L53</f>
        <v>116535</v>
      </c>
      <c r="M54" s="708">
        <f>M34+M53</f>
        <v>7198</v>
      </c>
      <c r="N54" s="708">
        <f>N34+N53</f>
        <v>123733</v>
      </c>
      <c r="O54" s="708">
        <f t="shared" ref="O54:S54" si="13">O34+O53</f>
        <v>377</v>
      </c>
      <c r="P54" s="708">
        <f t="shared" si="13"/>
        <v>0</v>
      </c>
      <c r="Q54" s="708">
        <f t="shared" si="13"/>
        <v>116912</v>
      </c>
      <c r="R54" s="708">
        <f t="shared" si="13"/>
        <v>7198</v>
      </c>
      <c r="S54" s="1561">
        <f t="shared" si="13"/>
        <v>124110</v>
      </c>
    </row>
    <row r="55" spans="1:19" x14ac:dyDescent="0.2">
      <c r="B55" s="131"/>
      <c r="C55" s="130"/>
      <c r="D55" s="130"/>
      <c r="E55" s="130"/>
      <c r="F55" s="130"/>
      <c r="G55" s="130"/>
      <c r="H55" s="130"/>
      <c r="I55" s="130"/>
      <c r="J55" s="130"/>
      <c r="K55" s="130"/>
      <c r="L55" s="134"/>
      <c r="M55" s="134"/>
      <c r="N55" s="134"/>
      <c r="O55" s="10"/>
    </row>
  </sheetData>
  <sheetProtection selectLockedCells="1" selectUnlockedCells="1"/>
  <mergeCells count="16">
    <mergeCell ref="O9:P9"/>
    <mergeCell ref="Q9:S9"/>
    <mergeCell ref="L8:S8"/>
    <mergeCell ref="A8:A10"/>
    <mergeCell ref="B8:B9"/>
    <mergeCell ref="K8:K9"/>
    <mergeCell ref="C9:E9"/>
    <mergeCell ref="L9:N9"/>
    <mergeCell ref="F9:G9"/>
    <mergeCell ref="H9:J9"/>
    <mergeCell ref="C8:J8"/>
    <mergeCell ref="B7:S7"/>
    <mergeCell ref="B1:S1"/>
    <mergeCell ref="A4:S4"/>
    <mergeCell ref="A5:S5"/>
    <mergeCell ref="A6:S6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83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55"/>
  <sheetViews>
    <sheetView workbookViewId="0">
      <selection activeCell="Q61" sqref="Q61"/>
    </sheetView>
  </sheetViews>
  <sheetFormatPr defaultColWidth="9.140625" defaultRowHeight="11.25" x14ac:dyDescent="0.2"/>
  <cols>
    <col min="1" max="1" width="4.85546875" style="119" customWidth="1"/>
    <col min="2" max="2" width="38.28515625" style="119" customWidth="1"/>
    <col min="3" max="3" width="10.140625" style="120" customWidth="1"/>
    <col min="4" max="4" width="11.140625" style="120" customWidth="1"/>
    <col min="5" max="10" width="11.5703125" style="120" customWidth="1"/>
    <col min="11" max="11" width="38" style="120" customWidth="1"/>
    <col min="12" max="12" width="12.28515625" style="120" customWidth="1"/>
    <col min="13" max="13" width="12" style="208" customWidth="1"/>
    <col min="14" max="14" width="11.7109375" style="208" customWidth="1"/>
    <col min="15" max="15" width="11.42578125" style="119" customWidth="1"/>
    <col min="16" max="16" width="11" style="10" customWidth="1"/>
    <col min="17" max="18" width="11.7109375" style="10" customWidth="1"/>
    <col min="19" max="19" width="12.28515625" style="10" customWidth="1"/>
    <col min="20" max="16384" width="9.140625" style="10"/>
  </cols>
  <sheetData>
    <row r="1" spans="1:19" ht="12.75" customHeight="1" x14ac:dyDescent="0.2">
      <c r="A1" s="1214" t="s">
        <v>1309</v>
      </c>
      <c r="B1" s="1214"/>
      <c r="C1" s="1214"/>
      <c r="D1" s="1214"/>
      <c r="E1" s="1214"/>
      <c r="F1" s="1214"/>
      <c r="G1" s="1214"/>
      <c r="H1" s="1214"/>
      <c r="I1" s="1214"/>
      <c r="J1" s="1214"/>
      <c r="K1" s="1214"/>
      <c r="L1" s="1214"/>
      <c r="M1" s="1214"/>
      <c r="N1" s="1214"/>
      <c r="O1" s="1214"/>
      <c r="P1" s="1214"/>
      <c r="Q1" s="1214"/>
      <c r="R1" s="1214"/>
      <c r="S1" s="1214"/>
    </row>
    <row r="2" spans="1:19" x14ac:dyDescent="0.2">
      <c r="N2" s="254"/>
    </row>
    <row r="3" spans="1:19" x14ac:dyDescent="0.2">
      <c r="N3" s="254"/>
    </row>
    <row r="4" spans="1:19" s="99" customFormat="1" x14ac:dyDescent="0.2">
      <c r="A4" s="122"/>
      <c r="B4" s="1215" t="s">
        <v>78</v>
      </c>
      <c r="C4" s="1215"/>
      <c r="D4" s="1215"/>
      <c r="E4" s="1215"/>
      <c r="F4" s="1215"/>
      <c r="G4" s="1215"/>
      <c r="H4" s="1215"/>
      <c r="I4" s="1215"/>
      <c r="J4" s="1215"/>
      <c r="K4" s="1215"/>
      <c r="L4" s="1215"/>
      <c r="M4" s="1215"/>
      <c r="N4" s="1215"/>
      <c r="O4" s="1215"/>
      <c r="P4" s="1215"/>
      <c r="Q4" s="1215"/>
      <c r="R4" s="1215"/>
      <c r="S4" s="1215"/>
    </row>
    <row r="5" spans="1:19" s="99" customFormat="1" x14ac:dyDescent="0.2">
      <c r="A5" s="122"/>
      <c r="B5" s="1338" t="s">
        <v>718</v>
      </c>
      <c r="C5" s="1338"/>
      <c r="D5" s="1338"/>
      <c r="E5" s="1338"/>
      <c r="F5" s="1338"/>
      <c r="G5" s="1338"/>
      <c r="H5" s="1338"/>
      <c r="I5" s="1338"/>
      <c r="J5" s="1338"/>
      <c r="K5" s="1338"/>
      <c r="L5" s="1338"/>
      <c r="M5" s="1338"/>
      <c r="N5" s="1338"/>
      <c r="O5" s="1338"/>
      <c r="P5" s="1338"/>
      <c r="Q5" s="1338"/>
      <c r="R5" s="1338"/>
      <c r="S5" s="1338"/>
    </row>
    <row r="6" spans="1:19" s="99" customFormat="1" ht="12.75" customHeight="1" x14ac:dyDescent="0.2">
      <c r="A6" s="122"/>
      <c r="B6" s="1437" t="s">
        <v>1107</v>
      </c>
      <c r="C6" s="1437"/>
      <c r="D6" s="1437"/>
      <c r="E6" s="1437"/>
      <c r="F6" s="1437"/>
      <c r="G6" s="1437"/>
      <c r="H6" s="1437"/>
      <c r="I6" s="1437"/>
      <c r="J6" s="1437"/>
      <c r="K6" s="1437"/>
      <c r="L6" s="1437"/>
      <c r="M6" s="1437"/>
      <c r="N6" s="1437"/>
      <c r="O6" s="1437"/>
      <c r="P6" s="1437"/>
      <c r="Q6" s="1437"/>
      <c r="R6" s="1437"/>
      <c r="S6" s="1437"/>
    </row>
    <row r="7" spans="1:19" s="99" customFormat="1" x14ac:dyDescent="0.2">
      <c r="A7" s="122"/>
      <c r="B7" s="1226" t="s">
        <v>311</v>
      </c>
      <c r="C7" s="1226"/>
      <c r="D7" s="1226"/>
      <c r="E7" s="1226"/>
      <c r="F7" s="1226"/>
      <c r="G7" s="1226"/>
      <c r="H7" s="1226"/>
      <c r="I7" s="1226"/>
      <c r="J7" s="1226"/>
      <c r="K7" s="1226"/>
      <c r="L7" s="1226"/>
      <c r="M7" s="1226"/>
      <c r="N7" s="1226"/>
      <c r="O7" s="1226"/>
      <c r="P7" s="1226"/>
      <c r="Q7" s="1226"/>
      <c r="R7" s="1226"/>
      <c r="S7" s="1226"/>
    </row>
    <row r="8" spans="1:19" s="99" customFormat="1" ht="12.75" customHeight="1" x14ac:dyDescent="0.2">
      <c r="A8" s="1545" t="s">
        <v>56</v>
      </c>
      <c r="B8" s="1557" t="s">
        <v>57</v>
      </c>
      <c r="C8" s="1436" t="s">
        <v>58</v>
      </c>
      <c r="D8" s="1436"/>
      <c r="E8" s="1436"/>
      <c r="F8" s="1436"/>
      <c r="G8" s="1436"/>
      <c r="H8" s="1436"/>
      <c r="I8" s="1436"/>
      <c r="J8" s="1436"/>
      <c r="K8" s="1560" t="s">
        <v>59</v>
      </c>
      <c r="L8" s="1433" t="s">
        <v>60</v>
      </c>
      <c r="M8" s="1434"/>
      <c r="N8" s="1434"/>
      <c r="O8" s="1434"/>
      <c r="P8" s="1434"/>
      <c r="Q8" s="1434"/>
      <c r="R8" s="1434"/>
      <c r="S8" s="1435"/>
    </row>
    <row r="9" spans="1:19" s="99" customFormat="1" ht="12.75" customHeight="1" x14ac:dyDescent="0.2">
      <c r="A9" s="1546"/>
      <c r="B9" s="1218"/>
      <c r="C9" s="1228" t="s">
        <v>1316</v>
      </c>
      <c r="D9" s="1228"/>
      <c r="E9" s="1229"/>
      <c r="F9" s="1220" t="s">
        <v>1293</v>
      </c>
      <c r="G9" s="1220"/>
      <c r="H9" s="1222" t="s">
        <v>1315</v>
      </c>
      <c r="I9" s="1223"/>
      <c r="J9" s="1224"/>
      <c r="K9" s="1336"/>
      <c r="L9" s="1228" t="s">
        <v>1316</v>
      </c>
      <c r="M9" s="1228"/>
      <c r="N9" s="1229"/>
      <c r="O9" s="1220" t="s">
        <v>1293</v>
      </c>
      <c r="P9" s="1220"/>
      <c r="Q9" s="1222" t="s">
        <v>1315</v>
      </c>
      <c r="R9" s="1223"/>
      <c r="S9" s="1224"/>
    </row>
    <row r="10" spans="1:19" s="100" customFormat="1" ht="36.6" customHeight="1" x14ac:dyDescent="0.2">
      <c r="A10" s="1547"/>
      <c r="B10" s="1211" t="s">
        <v>61</v>
      </c>
      <c r="C10" s="1532" t="s">
        <v>62</v>
      </c>
      <c r="D10" s="1532" t="s">
        <v>63</v>
      </c>
      <c r="E10" s="1532" t="s">
        <v>64</v>
      </c>
      <c r="F10" s="1534" t="s">
        <v>62</v>
      </c>
      <c r="G10" s="1534" t="s">
        <v>63</v>
      </c>
      <c r="H10" s="1532" t="s">
        <v>62</v>
      </c>
      <c r="I10" s="1532" t="s">
        <v>63</v>
      </c>
      <c r="J10" s="1535" t="s">
        <v>64</v>
      </c>
      <c r="K10" s="1588" t="s">
        <v>65</v>
      </c>
      <c r="L10" s="757" t="s">
        <v>62</v>
      </c>
      <c r="M10" s="756" t="s">
        <v>63</v>
      </c>
      <c r="N10" s="756" t="s">
        <v>64</v>
      </c>
      <c r="O10" s="757" t="s">
        <v>62</v>
      </c>
      <c r="P10" s="757" t="s">
        <v>63</v>
      </c>
      <c r="Q10" s="757" t="s">
        <v>62</v>
      </c>
      <c r="R10" s="757" t="s">
        <v>63</v>
      </c>
      <c r="S10" s="757" t="s">
        <v>64</v>
      </c>
    </row>
    <row r="11" spans="1:19" ht="11.45" customHeight="1" x14ac:dyDescent="0.2">
      <c r="A11" s="1544">
        <v>1</v>
      </c>
      <c r="B11" s="1488" t="s">
        <v>24</v>
      </c>
      <c r="C11" s="127"/>
      <c r="D11" s="127"/>
      <c r="E11" s="127"/>
      <c r="F11" s="127"/>
      <c r="G11" s="127"/>
      <c r="H11" s="127"/>
      <c r="I11" s="127"/>
      <c r="J11" s="1516"/>
      <c r="K11" s="1580" t="s">
        <v>25</v>
      </c>
      <c r="L11" s="127"/>
      <c r="M11" s="1510"/>
      <c r="N11" s="1506"/>
      <c r="O11" s="209"/>
      <c r="P11" s="209"/>
      <c r="Q11" s="209"/>
      <c r="R11" s="209"/>
      <c r="S11" s="1554"/>
    </row>
    <row r="12" spans="1:19" x14ac:dyDescent="0.2">
      <c r="A12" s="1544">
        <f t="shared" ref="A12:A54" si="0">A11+1</f>
        <v>2</v>
      </c>
      <c r="B12" s="124" t="s">
        <v>35</v>
      </c>
      <c r="C12" s="96"/>
      <c r="D12" s="96"/>
      <c r="E12" s="96">
        <f t="shared" ref="E12:E18" si="1">SUM(C12:D12)</f>
        <v>0</v>
      </c>
      <c r="F12" s="96"/>
      <c r="G12" s="96"/>
      <c r="H12" s="96"/>
      <c r="I12" s="96"/>
      <c r="J12" s="336"/>
      <c r="K12" s="107" t="s">
        <v>223</v>
      </c>
      <c r="L12" s="203">
        <v>50000</v>
      </c>
      <c r="M12" s="203">
        <v>40163</v>
      </c>
      <c r="N12" s="1491">
        <f>SUM(L12:M12)</f>
        <v>90163</v>
      </c>
      <c r="O12" s="209"/>
      <c r="P12" s="209">
        <v>225</v>
      </c>
      <c r="Q12" s="1506">
        <f>L12+O12</f>
        <v>50000</v>
      </c>
      <c r="R12" s="1506">
        <f>M12+P12</f>
        <v>40388</v>
      </c>
      <c r="S12" s="1530">
        <f>Q12+R12</f>
        <v>90388</v>
      </c>
    </row>
    <row r="13" spans="1:19" x14ac:dyDescent="0.2">
      <c r="A13" s="1544">
        <f t="shared" si="0"/>
        <v>3</v>
      </c>
      <c r="B13" s="124" t="s">
        <v>36</v>
      </c>
      <c r="C13" s="96"/>
      <c r="D13" s="96"/>
      <c r="E13" s="96">
        <f t="shared" si="1"/>
        <v>0</v>
      </c>
      <c r="F13" s="96"/>
      <c r="G13" s="96"/>
      <c r="H13" s="96"/>
      <c r="I13" s="96"/>
      <c r="J13" s="336"/>
      <c r="K13" s="107" t="s">
        <v>224</v>
      </c>
      <c r="L13" s="203">
        <v>8783</v>
      </c>
      <c r="M13" s="203">
        <v>9929</v>
      </c>
      <c r="N13" s="1491">
        <f>SUM(L13:M13)</f>
        <v>18712</v>
      </c>
      <c r="O13" s="209"/>
      <c r="P13" s="209">
        <v>22</v>
      </c>
      <c r="Q13" s="1506">
        <f t="shared" ref="Q13:Q14" si="2">L13+O13</f>
        <v>8783</v>
      </c>
      <c r="R13" s="1506">
        <f t="shared" ref="R13:R14" si="3">M13+P13</f>
        <v>9951</v>
      </c>
      <c r="S13" s="1530">
        <f t="shared" ref="S13:S14" si="4">Q13+R13</f>
        <v>18734</v>
      </c>
    </row>
    <row r="14" spans="1:19" x14ac:dyDescent="0.2">
      <c r="A14" s="1544">
        <f t="shared" si="0"/>
        <v>4</v>
      </c>
      <c r="B14" s="124" t="s">
        <v>37</v>
      </c>
      <c r="C14" s="96"/>
      <c r="D14" s="96"/>
      <c r="E14" s="96">
        <f t="shared" si="1"/>
        <v>0</v>
      </c>
      <c r="F14" s="96"/>
      <c r="G14" s="96">
        <v>247</v>
      </c>
      <c r="H14" s="96"/>
      <c r="I14" s="96">
        <f>D14+G14</f>
        <v>247</v>
      </c>
      <c r="J14" s="336">
        <f>I14</f>
        <v>247</v>
      </c>
      <c r="K14" s="107" t="s">
        <v>225</v>
      </c>
      <c r="L14" s="203">
        <v>58926</v>
      </c>
      <c r="M14" s="203">
        <v>104296</v>
      </c>
      <c r="N14" s="1491">
        <f>SUM(L14:M14)</f>
        <v>163222</v>
      </c>
      <c r="O14" s="209">
        <v>10219</v>
      </c>
      <c r="P14" s="209">
        <v>12113</v>
      </c>
      <c r="Q14" s="1506">
        <f t="shared" si="2"/>
        <v>69145</v>
      </c>
      <c r="R14" s="1506">
        <f t="shared" si="3"/>
        <v>116409</v>
      </c>
      <c r="S14" s="1530">
        <f t="shared" si="4"/>
        <v>185554</v>
      </c>
    </row>
    <row r="15" spans="1:19" ht="12" customHeight="1" x14ac:dyDescent="0.2">
      <c r="A15" s="1544">
        <f t="shared" si="0"/>
        <v>5</v>
      </c>
      <c r="B15" s="1539"/>
      <c r="C15" s="96"/>
      <c r="D15" s="96"/>
      <c r="E15" s="96"/>
      <c r="F15" s="96"/>
      <c r="G15" s="96"/>
      <c r="H15" s="96"/>
      <c r="I15" s="96"/>
      <c r="J15" s="336"/>
      <c r="K15" s="107"/>
      <c r="L15" s="203"/>
      <c r="M15" s="203"/>
      <c r="N15" s="203"/>
      <c r="O15" s="209"/>
      <c r="P15" s="209"/>
      <c r="Q15" s="209"/>
      <c r="R15" s="209"/>
      <c r="S15" s="1554"/>
    </row>
    <row r="16" spans="1:19" x14ac:dyDescent="0.2">
      <c r="A16" s="1544">
        <f t="shared" si="0"/>
        <v>6</v>
      </c>
      <c r="B16" s="124" t="s">
        <v>38</v>
      </c>
      <c r="C16" s="96"/>
      <c r="D16" s="96"/>
      <c r="E16" s="96">
        <f t="shared" si="1"/>
        <v>0</v>
      </c>
      <c r="F16" s="96"/>
      <c r="G16" s="96"/>
      <c r="H16" s="96"/>
      <c r="I16" s="96"/>
      <c r="J16" s="336"/>
      <c r="K16" s="107" t="s">
        <v>28</v>
      </c>
      <c r="L16" s="125"/>
      <c r="M16" s="1506"/>
      <c r="N16" s="1506"/>
      <c r="O16" s="209"/>
      <c r="P16" s="209"/>
      <c r="Q16" s="209"/>
      <c r="R16" s="209"/>
      <c r="S16" s="1554"/>
    </row>
    <row r="17" spans="1:19" x14ac:dyDescent="0.2">
      <c r="A17" s="1544">
        <f t="shared" si="0"/>
        <v>7</v>
      </c>
      <c r="B17" s="124"/>
      <c r="C17" s="96"/>
      <c r="D17" s="96"/>
      <c r="E17" s="96"/>
      <c r="F17" s="96"/>
      <c r="G17" s="96"/>
      <c r="H17" s="96"/>
      <c r="I17" s="96"/>
      <c r="J17" s="336"/>
      <c r="K17" s="107" t="s">
        <v>30</v>
      </c>
      <c r="L17" s="125"/>
      <c r="M17" s="1506"/>
      <c r="N17" s="1506"/>
      <c r="O17" s="209"/>
      <c r="P17" s="209"/>
      <c r="Q17" s="209"/>
      <c r="R17" s="209"/>
      <c r="S17" s="1554"/>
    </row>
    <row r="18" spans="1:19" x14ac:dyDescent="0.2">
      <c r="A18" s="1544">
        <f t="shared" si="0"/>
        <v>8</v>
      </c>
      <c r="B18" s="124" t="s">
        <v>39</v>
      </c>
      <c r="C18" s="96"/>
      <c r="D18" s="96"/>
      <c r="E18" s="96">
        <f t="shared" si="1"/>
        <v>0</v>
      </c>
      <c r="F18" s="96"/>
      <c r="G18" s="96"/>
      <c r="H18" s="96"/>
      <c r="I18" s="96"/>
      <c r="J18" s="336"/>
      <c r="K18" s="107" t="s">
        <v>461</v>
      </c>
      <c r="L18" s="125"/>
      <c r="M18" s="1506"/>
      <c r="N18" s="1506"/>
      <c r="O18" s="209"/>
      <c r="P18" s="209"/>
      <c r="Q18" s="209"/>
      <c r="R18" s="209"/>
      <c r="S18" s="1554"/>
    </row>
    <row r="19" spans="1:19" x14ac:dyDescent="0.2">
      <c r="A19" s="1544">
        <f t="shared" si="0"/>
        <v>9</v>
      </c>
      <c r="B19" s="126" t="s">
        <v>40</v>
      </c>
      <c r="C19" s="1538"/>
      <c r="D19" s="1538"/>
      <c r="E19" s="1538"/>
      <c r="F19" s="1538"/>
      <c r="G19" s="1538"/>
      <c r="H19" s="1538"/>
      <c r="I19" s="1538"/>
      <c r="J19" s="1548"/>
      <c r="K19" s="107" t="s">
        <v>460</v>
      </c>
      <c r="L19" s="125"/>
      <c r="M19" s="1506"/>
      <c r="N19" s="1506"/>
      <c r="O19" s="209"/>
      <c r="P19" s="209"/>
      <c r="Q19" s="209"/>
      <c r="R19" s="209"/>
      <c r="S19" s="1554"/>
    </row>
    <row r="20" spans="1:19" x14ac:dyDescent="0.2">
      <c r="A20" s="1544">
        <f t="shared" si="0"/>
        <v>10</v>
      </c>
      <c r="B20" s="124" t="s">
        <v>202</v>
      </c>
      <c r="C20" s="1491">
        <f>39290+10000</f>
        <v>49290</v>
      </c>
      <c r="D20" s="1491">
        <v>36855</v>
      </c>
      <c r="E20" s="1538">
        <f>SUM(C20:D20)</f>
        <v>86145</v>
      </c>
      <c r="F20" s="1538">
        <v>9323</v>
      </c>
      <c r="G20" s="1538">
        <v>2300</v>
      </c>
      <c r="H20" s="1538">
        <f>C20+F20</f>
        <v>58613</v>
      </c>
      <c r="I20" s="1538">
        <f>D20+G20</f>
        <v>39155</v>
      </c>
      <c r="J20" s="1548">
        <f>H20+I20</f>
        <v>97768</v>
      </c>
      <c r="K20" s="107" t="s">
        <v>960</v>
      </c>
      <c r="L20" s="125"/>
      <c r="M20" s="1506"/>
      <c r="N20" s="1506">
        <f>L20+M20</f>
        <v>0</v>
      </c>
      <c r="O20" s="209"/>
      <c r="P20" s="209"/>
      <c r="Q20" s="209"/>
      <c r="R20" s="209"/>
      <c r="S20" s="1554"/>
    </row>
    <row r="21" spans="1:19" x14ac:dyDescent="0.2">
      <c r="A21" s="1544">
        <f t="shared" si="0"/>
        <v>11</v>
      </c>
      <c r="B21" s="1492"/>
      <c r="C21" s="1538"/>
      <c r="D21" s="1538"/>
      <c r="E21" s="1538"/>
      <c r="F21" s="1538"/>
      <c r="G21" s="1538"/>
      <c r="H21" s="1538"/>
      <c r="I21" s="1538"/>
      <c r="J21" s="1548"/>
      <c r="K21" s="107" t="s">
        <v>453</v>
      </c>
      <c r="L21" s="125"/>
      <c r="M21" s="1506"/>
      <c r="N21" s="1506"/>
      <c r="O21" s="209"/>
      <c r="P21" s="209"/>
      <c r="Q21" s="209"/>
      <c r="R21" s="209"/>
      <c r="S21" s="1554"/>
    </row>
    <row r="22" spans="1:19" s="101" customFormat="1" x14ac:dyDescent="0.2">
      <c r="A22" s="1544">
        <f t="shared" si="0"/>
        <v>12</v>
      </c>
      <c r="B22" s="1492" t="s">
        <v>42</v>
      </c>
      <c r="C22" s="1538"/>
      <c r="D22" s="1538"/>
      <c r="E22" s="1538"/>
      <c r="F22" s="1538"/>
      <c r="G22" s="1538"/>
      <c r="H22" s="1538"/>
      <c r="I22" s="1538"/>
      <c r="J22" s="1548"/>
      <c r="K22" s="107" t="s">
        <v>454</v>
      </c>
      <c r="L22" s="125"/>
      <c r="M22" s="1506"/>
      <c r="N22" s="1506"/>
      <c r="O22" s="1508"/>
      <c r="P22" s="1508"/>
      <c r="Q22" s="1508"/>
      <c r="R22" s="1508"/>
      <c r="S22" s="1555"/>
    </row>
    <row r="23" spans="1:19" s="101" customFormat="1" x14ac:dyDescent="0.2">
      <c r="A23" s="1544">
        <f t="shared" si="0"/>
        <v>13</v>
      </c>
      <c r="B23" s="1492" t="s">
        <v>43</v>
      </c>
      <c r="C23" s="1538"/>
      <c r="D23" s="1538"/>
      <c r="E23" s="1538"/>
      <c r="F23" s="1538"/>
      <c r="G23" s="1538"/>
      <c r="H23" s="1538"/>
      <c r="I23" s="1538"/>
      <c r="J23" s="1548"/>
      <c r="K23" s="1582"/>
      <c r="L23" s="125"/>
      <c r="M23" s="1506"/>
      <c r="N23" s="1506"/>
      <c r="O23" s="1508"/>
      <c r="P23" s="1508"/>
      <c r="Q23" s="1508"/>
      <c r="R23" s="1508"/>
      <c r="S23" s="1555"/>
    </row>
    <row r="24" spans="1:19" x14ac:dyDescent="0.2">
      <c r="A24" s="1544">
        <f t="shared" si="0"/>
        <v>14</v>
      </c>
      <c r="B24" s="124" t="s">
        <v>44</v>
      </c>
      <c r="C24" s="1540"/>
      <c r="D24" s="1540"/>
      <c r="E24" s="1540"/>
      <c r="F24" s="1540"/>
      <c r="G24" s="1540"/>
      <c r="H24" s="1540"/>
      <c r="I24" s="1540"/>
      <c r="J24" s="1550"/>
      <c r="K24" s="1583" t="s">
        <v>66</v>
      </c>
      <c r="L24" s="1541">
        <f>SUM(L12:L22)</f>
        <v>117709</v>
      </c>
      <c r="M24" s="1509">
        <f>SUM(M12:M22)</f>
        <v>154388</v>
      </c>
      <c r="N24" s="1509">
        <f>SUM(N12:N22)</f>
        <v>272097</v>
      </c>
      <c r="O24" s="1509">
        <f t="shared" ref="O24:S24" si="5">SUM(O12:O22)</f>
        <v>10219</v>
      </c>
      <c r="P24" s="1509">
        <f t="shared" si="5"/>
        <v>12360</v>
      </c>
      <c r="Q24" s="1509">
        <f t="shared" si="5"/>
        <v>127928</v>
      </c>
      <c r="R24" s="1509">
        <f t="shared" si="5"/>
        <v>166748</v>
      </c>
      <c r="S24" s="1528">
        <f t="shared" si="5"/>
        <v>294676</v>
      </c>
    </row>
    <row r="25" spans="1:19" x14ac:dyDescent="0.2">
      <c r="A25" s="1544">
        <f t="shared" si="0"/>
        <v>15</v>
      </c>
      <c r="B25" s="124" t="s">
        <v>45</v>
      </c>
      <c r="C25" s="1538"/>
      <c r="D25" s="1538"/>
      <c r="E25" s="1538"/>
      <c r="F25" s="1538"/>
      <c r="G25" s="1538"/>
      <c r="H25" s="1538"/>
      <c r="I25" s="1538"/>
      <c r="J25" s="1548"/>
      <c r="K25" s="1582"/>
      <c r="L25" s="125"/>
      <c r="M25" s="1506"/>
      <c r="N25" s="1506"/>
      <c r="O25" s="209"/>
      <c r="P25" s="209"/>
      <c r="Q25" s="209"/>
      <c r="R25" s="209"/>
      <c r="S25" s="1554"/>
    </row>
    <row r="26" spans="1:19" x14ac:dyDescent="0.2">
      <c r="A26" s="1544">
        <f t="shared" si="0"/>
        <v>16</v>
      </c>
      <c r="B26" s="124" t="s">
        <v>46</v>
      </c>
      <c r="C26" s="1499"/>
      <c r="D26" s="1499"/>
      <c r="E26" s="1499"/>
      <c r="F26" s="1499"/>
      <c r="G26" s="1499"/>
      <c r="H26" s="1499"/>
      <c r="I26" s="1499"/>
      <c r="J26" s="374"/>
      <c r="K26" s="1580" t="s">
        <v>34</v>
      </c>
      <c r="L26" s="127"/>
      <c r="M26" s="1510"/>
      <c r="N26" s="1506"/>
      <c r="O26" s="209"/>
      <c r="P26" s="209"/>
      <c r="Q26" s="209"/>
      <c r="R26" s="209"/>
      <c r="S26" s="1554"/>
    </row>
    <row r="27" spans="1:19" x14ac:dyDescent="0.2">
      <c r="A27" s="1544">
        <f t="shared" si="0"/>
        <v>17</v>
      </c>
      <c r="B27" s="124" t="s">
        <v>47</v>
      </c>
      <c r="C27" s="96"/>
      <c r="D27" s="96"/>
      <c r="E27" s="96"/>
      <c r="F27" s="96"/>
      <c r="G27" s="96"/>
      <c r="H27" s="96"/>
      <c r="I27" s="96"/>
      <c r="J27" s="336"/>
      <c r="K27" s="107" t="s">
        <v>281</v>
      </c>
      <c r="L27" s="125">
        <f>'felhalm. kiad.  '!M133</f>
        <v>0</v>
      </c>
      <c r="M27" s="125">
        <f>'felhalm. kiad.  '!P133</f>
        <v>10870</v>
      </c>
      <c r="N27" s="125">
        <f>'felhalm. kiad.  '!J133</f>
        <v>10870</v>
      </c>
      <c r="O27" s="209"/>
      <c r="P27" s="209"/>
      <c r="Q27" s="1506">
        <f>L27+O27</f>
        <v>0</v>
      </c>
      <c r="R27" s="1506">
        <f>M27+P27</f>
        <v>10870</v>
      </c>
      <c r="S27" s="1530">
        <f>Q27+R27</f>
        <v>10870</v>
      </c>
    </row>
    <row r="28" spans="1:19" x14ac:dyDescent="0.2">
      <c r="A28" s="1544">
        <f t="shared" si="0"/>
        <v>18</v>
      </c>
      <c r="B28" s="124"/>
      <c r="C28" s="96"/>
      <c r="D28" s="96"/>
      <c r="E28" s="96"/>
      <c r="F28" s="96"/>
      <c r="G28" s="96"/>
      <c r="H28" s="96"/>
      <c r="I28" s="96"/>
      <c r="J28" s="336"/>
      <c r="K28" s="107" t="s">
        <v>31</v>
      </c>
      <c r="L28" s="125"/>
      <c r="M28" s="1506"/>
      <c r="N28" s="1506"/>
      <c r="O28" s="209"/>
      <c r="P28" s="209"/>
      <c r="Q28" s="209"/>
      <c r="R28" s="209"/>
      <c r="S28" s="1554"/>
    </row>
    <row r="29" spans="1:19" x14ac:dyDescent="0.2">
      <c r="A29" s="1544">
        <f t="shared" si="0"/>
        <v>19</v>
      </c>
      <c r="B29" s="1492" t="s">
        <v>50</v>
      </c>
      <c r="C29" s="96"/>
      <c r="D29" s="96"/>
      <c r="E29" s="96"/>
      <c r="F29" s="96"/>
      <c r="G29" s="96">
        <v>490</v>
      </c>
      <c r="H29" s="96"/>
      <c r="I29" s="96">
        <f>G29</f>
        <v>490</v>
      </c>
      <c r="J29" s="336">
        <f>I29</f>
        <v>490</v>
      </c>
      <c r="K29" s="107" t="s">
        <v>32</v>
      </c>
      <c r="L29" s="125"/>
      <c r="M29" s="1506"/>
      <c r="N29" s="1506"/>
      <c r="O29" s="209"/>
      <c r="P29" s="209"/>
      <c r="Q29" s="209"/>
      <c r="R29" s="209"/>
      <c r="S29" s="1554"/>
    </row>
    <row r="30" spans="1:19" s="101" customFormat="1" x14ac:dyDescent="0.2">
      <c r="A30" s="1544">
        <f t="shared" si="0"/>
        <v>20</v>
      </c>
      <c r="B30" s="1492" t="s">
        <v>48</v>
      </c>
      <c r="C30" s="96"/>
      <c r="D30" s="96"/>
      <c r="E30" s="96"/>
      <c r="F30" s="96"/>
      <c r="G30" s="96"/>
      <c r="H30" s="96"/>
      <c r="I30" s="96"/>
      <c r="J30" s="336"/>
      <c r="K30" s="107" t="s">
        <v>462</v>
      </c>
      <c r="L30" s="125"/>
      <c r="M30" s="1506"/>
      <c r="N30" s="1506"/>
      <c r="O30" s="1508"/>
      <c r="P30" s="1508"/>
      <c r="Q30" s="1508"/>
      <c r="R30" s="1508"/>
      <c r="S30" s="1555"/>
    </row>
    <row r="31" spans="1:19" x14ac:dyDescent="0.2">
      <c r="A31" s="1544">
        <f t="shared" si="0"/>
        <v>21</v>
      </c>
      <c r="B31" s="1492"/>
      <c r="C31" s="96"/>
      <c r="D31" s="96"/>
      <c r="E31" s="96"/>
      <c r="F31" s="96"/>
      <c r="G31" s="96"/>
      <c r="H31" s="96"/>
      <c r="I31" s="96"/>
      <c r="J31" s="336"/>
      <c r="K31" s="107" t="s">
        <v>459</v>
      </c>
      <c r="L31" s="125"/>
      <c r="M31" s="1506"/>
      <c r="N31" s="1506"/>
      <c r="O31" s="209"/>
      <c r="P31" s="209"/>
      <c r="Q31" s="209"/>
      <c r="R31" s="209"/>
      <c r="S31" s="1554"/>
    </row>
    <row r="32" spans="1:19" s="11" customFormat="1" x14ac:dyDescent="0.2">
      <c r="A32" s="1544">
        <f t="shared" si="0"/>
        <v>22</v>
      </c>
      <c r="B32" s="1495" t="s">
        <v>52</v>
      </c>
      <c r="C32" s="1538">
        <f>C14+C20</f>
        <v>49290</v>
      </c>
      <c r="D32" s="1538">
        <f>D14+D20</f>
        <v>36855</v>
      </c>
      <c r="E32" s="1538">
        <f>E14+E20</f>
        <v>86145</v>
      </c>
      <c r="F32" s="1538">
        <f t="shared" ref="F32:J32" si="6">F14+F20</f>
        <v>9323</v>
      </c>
      <c r="G32" s="1538">
        <f t="shared" si="6"/>
        <v>2547</v>
      </c>
      <c r="H32" s="1538">
        <f t="shared" si="6"/>
        <v>58613</v>
      </c>
      <c r="I32" s="1538">
        <f t="shared" si="6"/>
        <v>39402</v>
      </c>
      <c r="J32" s="1548">
        <f t="shared" si="6"/>
        <v>98015</v>
      </c>
      <c r="K32" s="107" t="s">
        <v>455</v>
      </c>
      <c r="L32" s="125"/>
      <c r="M32" s="1506"/>
      <c r="N32" s="1506"/>
      <c r="O32" s="1512"/>
      <c r="P32" s="1512"/>
      <c r="Q32" s="1512"/>
      <c r="R32" s="1512"/>
      <c r="S32" s="1556"/>
    </row>
    <row r="33" spans="1:19" x14ac:dyDescent="0.2">
      <c r="A33" s="1544">
        <f t="shared" si="0"/>
        <v>23</v>
      </c>
      <c r="B33" s="1525" t="s">
        <v>67</v>
      </c>
      <c r="C33" s="1511"/>
      <c r="D33" s="1511"/>
      <c r="E33" s="1511"/>
      <c r="F33" s="1511"/>
      <c r="G33" s="1511"/>
      <c r="H33" s="1511"/>
      <c r="I33" s="1511"/>
      <c r="J33" s="1577"/>
      <c r="K33" s="1584" t="s">
        <v>68</v>
      </c>
      <c r="L33" s="1511">
        <f>SUM(L27:L32)</f>
        <v>0</v>
      </c>
      <c r="M33" s="1523">
        <f>SUM(M27:M32)</f>
        <v>10870</v>
      </c>
      <c r="N33" s="1523">
        <f>SUM(N27:N31)</f>
        <v>10870</v>
      </c>
      <c r="O33" s="1523">
        <f t="shared" ref="O33:S33" si="7">SUM(O27:O31)</f>
        <v>0</v>
      </c>
      <c r="P33" s="1523">
        <f t="shared" si="7"/>
        <v>0</v>
      </c>
      <c r="Q33" s="1523">
        <f t="shared" si="7"/>
        <v>0</v>
      </c>
      <c r="R33" s="1523">
        <f t="shared" si="7"/>
        <v>10870</v>
      </c>
      <c r="S33" s="1551">
        <f t="shared" si="7"/>
        <v>10870</v>
      </c>
    </row>
    <row r="34" spans="1:19" x14ac:dyDescent="0.2">
      <c r="A34" s="1544">
        <f t="shared" si="0"/>
        <v>24</v>
      </c>
      <c r="B34" s="129" t="s">
        <v>51</v>
      </c>
      <c r="C34" s="127">
        <f>SUM(C32:C33)</f>
        <v>49290</v>
      </c>
      <c r="D34" s="127">
        <f>SUM(D32:D33)</f>
        <v>36855</v>
      </c>
      <c r="E34" s="127">
        <f>SUM(C34:D34)</f>
        <v>86145</v>
      </c>
      <c r="F34" s="127">
        <f>F32+F33</f>
        <v>9323</v>
      </c>
      <c r="G34" s="127">
        <f t="shared" ref="G34:J34" si="8">G32+G33</f>
        <v>2547</v>
      </c>
      <c r="H34" s="127">
        <f t="shared" si="8"/>
        <v>58613</v>
      </c>
      <c r="I34" s="127">
        <f t="shared" si="8"/>
        <v>39402</v>
      </c>
      <c r="J34" s="1516">
        <f t="shared" si="8"/>
        <v>98015</v>
      </c>
      <c r="K34" s="1585" t="s">
        <v>69</v>
      </c>
      <c r="L34" s="127">
        <f>L24+L33</f>
        <v>117709</v>
      </c>
      <c r="M34" s="1510">
        <f>M24+M33</f>
        <v>165258</v>
      </c>
      <c r="N34" s="1510">
        <f>N24+N33</f>
        <v>282967</v>
      </c>
      <c r="O34" s="1510">
        <f t="shared" ref="O34:S34" si="9">O24+O33</f>
        <v>10219</v>
      </c>
      <c r="P34" s="1510">
        <f t="shared" si="9"/>
        <v>12360</v>
      </c>
      <c r="Q34" s="1510">
        <f t="shared" si="9"/>
        <v>127928</v>
      </c>
      <c r="R34" s="1510">
        <f t="shared" si="9"/>
        <v>177618</v>
      </c>
      <c r="S34" s="1529">
        <f t="shared" si="9"/>
        <v>305546</v>
      </c>
    </row>
    <row r="35" spans="1:19" x14ac:dyDescent="0.2">
      <c r="A35" s="1544">
        <f t="shared" si="0"/>
        <v>25</v>
      </c>
      <c r="B35" s="1492"/>
      <c r="C35" s="125"/>
      <c r="D35" s="125"/>
      <c r="E35" s="125"/>
      <c r="F35" s="125"/>
      <c r="G35" s="125"/>
      <c r="H35" s="125"/>
      <c r="I35" s="125"/>
      <c r="J35" s="1552"/>
      <c r="K35" s="1582"/>
      <c r="L35" s="125"/>
      <c r="M35" s="1506"/>
      <c r="N35" s="1506"/>
      <c r="O35" s="209"/>
      <c r="P35" s="209"/>
      <c r="Q35" s="209"/>
      <c r="R35" s="209"/>
      <c r="S35" s="1554"/>
    </row>
    <row r="36" spans="1:19" x14ac:dyDescent="0.2">
      <c r="A36" s="1544">
        <f t="shared" si="0"/>
        <v>26</v>
      </c>
      <c r="B36" s="1492"/>
      <c r="C36" s="125"/>
      <c r="D36" s="125"/>
      <c r="E36" s="125"/>
      <c r="F36" s="125"/>
      <c r="G36" s="125"/>
      <c r="H36" s="125"/>
      <c r="I36" s="125"/>
      <c r="J36" s="1552"/>
      <c r="K36" s="1583"/>
      <c r="L36" s="1541"/>
      <c r="M36" s="1509"/>
      <c r="N36" s="1509"/>
      <c r="O36" s="209"/>
      <c r="P36" s="209"/>
      <c r="Q36" s="209"/>
      <c r="R36" s="209"/>
      <c r="S36" s="1554"/>
    </row>
    <row r="37" spans="1:19" s="11" customFormat="1" x14ac:dyDescent="0.2">
      <c r="A37" s="1544">
        <f t="shared" si="0"/>
        <v>27</v>
      </c>
      <c r="B37" s="1492"/>
      <c r="C37" s="125"/>
      <c r="D37" s="125"/>
      <c r="E37" s="125"/>
      <c r="F37" s="125"/>
      <c r="G37" s="125"/>
      <c r="H37" s="125"/>
      <c r="I37" s="125"/>
      <c r="J37" s="1552"/>
      <c r="K37" s="1582"/>
      <c r="L37" s="125"/>
      <c r="M37" s="1506"/>
      <c r="N37" s="1506"/>
      <c r="O37" s="1512"/>
      <c r="P37" s="1512"/>
      <c r="Q37" s="1512"/>
      <c r="R37" s="1512"/>
      <c r="S37" s="1556"/>
    </row>
    <row r="38" spans="1:19" s="11" customFormat="1" x14ac:dyDescent="0.2">
      <c r="A38" s="1544">
        <f t="shared" si="0"/>
        <v>28</v>
      </c>
      <c r="B38" s="1499" t="s">
        <v>53</v>
      </c>
      <c r="C38" s="1499"/>
      <c r="D38" s="1499"/>
      <c r="E38" s="1499"/>
      <c r="F38" s="1499"/>
      <c r="G38" s="1499"/>
      <c r="H38" s="1499"/>
      <c r="I38" s="1499"/>
      <c r="J38" s="374"/>
      <c r="K38" s="1580" t="s">
        <v>33</v>
      </c>
      <c r="L38" s="127"/>
      <c r="M38" s="1510"/>
      <c r="N38" s="1510"/>
      <c r="O38" s="1512"/>
      <c r="P38" s="1512"/>
      <c r="Q38" s="1512"/>
      <c r="R38" s="1512"/>
      <c r="S38" s="1556"/>
    </row>
    <row r="39" spans="1:19" s="11" customFormat="1" ht="12" customHeight="1" x14ac:dyDescent="0.2">
      <c r="A39" s="1544">
        <f t="shared" si="0"/>
        <v>29</v>
      </c>
      <c r="B39" s="1500" t="s">
        <v>710</v>
      </c>
      <c r="C39" s="1499"/>
      <c r="D39" s="1499"/>
      <c r="E39" s="1499"/>
      <c r="F39" s="1499"/>
      <c r="G39" s="1499"/>
      <c r="H39" s="1499"/>
      <c r="I39" s="1499"/>
      <c r="J39" s="374"/>
      <c r="K39" s="1586" t="s">
        <v>4</v>
      </c>
      <c r="L39" s="127"/>
      <c r="M39" s="1512"/>
      <c r="N39" s="1512"/>
      <c r="O39" s="1512"/>
      <c r="P39" s="1512"/>
      <c r="Q39" s="1512"/>
      <c r="R39" s="1512"/>
      <c r="S39" s="1556"/>
    </row>
    <row r="40" spans="1:19" s="11" customFormat="1" x14ac:dyDescent="0.2">
      <c r="A40" s="1544">
        <f t="shared" si="0"/>
        <v>30</v>
      </c>
      <c r="B40" s="1492" t="s">
        <v>998</v>
      </c>
      <c r="C40" s="1499"/>
      <c r="D40" s="1499"/>
      <c r="E40" s="1499"/>
      <c r="F40" s="1499"/>
      <c r="G40" s="1499"/>
      <c r="H40" s="1499"/>
      <c r="I40" s="1499"/>
      <c r="J40" s="374"/>
      <c r="K40" s="1587" t="s">
        <v>3</v>
      </c>
      <c r="L40" s="127"/>
      <c r="M40" s="1510"/>
      <c r="N40" s="1510"/>
      <c r="O40" s="1512"/>
      <c r="P40" s="1512"/>
      <c r="Q40" s="1512"/>
      <c r="R40" s="1512"/>
      <c r="S40" s="1556"/>
    </row>
    <row r="41" spans="1:19" x14ac:dyDescent="0.2">
      <c r="A41" s="1544">
        <f t="shared" si="0"/>
        <v>31</v>
      </c>
      <c r="B41" s="96" t="s">
        <v>712</v>
      </c>
      <c r="C41" s="1543"/>
      <c r="D41" s="1543"/>
      <c r="E41" s="1543"/>
      <c r="F41" s="1543"/>
      <c r="G41" s="1543"/>
      <c r="H41" s="1543"/>
      <c r="I41" s="1543"/>
      <c r="J41" s="1553"/>
      <c r="K41" s="107" t="s">
        <v>5</v>
      </c>
      <c r="L41" s="127"/>
      <c r="M41" s="1510"/>
      <c r="N41" s="1510"/>
      <c r="O41" s="209"/>
      <c r="P41" s="209"/>
      <c r="Q41" s="209"/>
      <c r="R41" s="209"/>
      <c r="S41" s="1554"/>
    </row>
    <row r="42" spans="1:19" x14ac:dyDescent="0.2">
      <c r="A42" s="1544">
        <f t="shared" si="0"/>
        <v>32</v>
      </c>
      <c r="B42" s="96" t="s">
        <v>215</v>
      </c>
      <c r="C42" s="96"/>
      <c r="D42" s="96"/>
      <c r="E42" s="96"/>
      <c r="F42" s="96"/>
      <c r="G42" s="96"/>
      <c r="H42" s="96"/>
      <c r="I42" s="96"/>
      <c r="J42" s="336"/>
      <c r="K42" s="107" t="s">
        <v>6</v>
      </c>
      <c r="L42" s="127"/>
      <c r="M42" s="1510"/>
      <c r="N42" s="1510"/>
      <c r="O42" s="209"/>
      <c r="P42" s="209"/>
      <c r="Q42" s="209"/>
      <c r="R42" s="209"/>
      <c r="S42" s="1554"/>
    </row>
    <row r="43" spans="1:19" x14ac:dyDescent="0.2">
      <c r="A43" s="1544">
        <f t="shared" si="0"/>
        <v>33</v>
      </c>
      <c r="B43" s="1505" t="s">
        <v>216</v>
      </c>
      <c r="C43" s="96">
        <v>3904</v>
      </c>
      <c r="D43" s="96"/>
      <c r="E43" s="96">
        <f>C43+D43</f>
        <v>3904</v>
      </c>
      <c r="F43" s="96"/>
      <c r="G43" s="96"/>
      <c r="H43" s="96">
        <f>C43+F43</f>
        <v>3904</v>
      </c>
      <c r="I43" s="96">
        <f>D43+G43</f>
        <v>0</v>
      </c>
      <c r="J43" s="336">
        <f>H43+I43</f>
        <v>3904</v>
      </c>
      <c r="K43" s="107" t="s">
        <v>7</v>
      </c>
      <c r="L43" s="127"/>
      <c r="M43" s="1510"/>
      <c r="N43" s="1510"/>
      <c r="O43" s="209"/>
      <c r="P43" s="209"/>
      <c r="Q43" s="209"/>
      <c r="R43" s="209"/>
      <c r="S43" s="1554"/>
    </row>
    <row r="44" spans="1:19" x14ac:dyDescent="0.2">
      <c r="A44" s="1544">
        <f t="shared" si="0"/>
        <v>34</v>
      </c>
      <c r="B44" s="1505" t="s">
        <v>993</v>
      </c>
      <c r="C44" s="96"/>
      <c r="D44" s="96"/>
      <c r="E44" s="96">
        <f>C44+D44</f>
        <v>0</v>
      </c>
      <c r="F44" s="96"/>
      <c r="G44" s="96"/>
      <c r="H44" s="96"/>
      <c r="I44" s="96"/>
      <c r="J44" s="336"/>
      <c r="K44" s="107"/>
      <c r="L44" s="127"/>
      <c r="M44" s="1510"/>
      <c r="N44" s="1510"/>
      <c r="O44" s="209"/>
      <c r="P44" s="209"/>
      <c r="Q44" s="209"/>
      <c r="R44" s="209"/>
      <c r="S44" s="1554"/>
    </row>
    <row r="45" spans="1:19" x14ac:dyDescent="0.2">
      <c r="A45" s="1544">
        <f t="shared" si="0"/>
        <v>35</v>
      </c>
      <c r="B45" s="96" t="s">
        <v>713</v>
      </c>
      <c r="C45" s="96"/>
      <c r="D45" s="96"/>
      <c r="E45" s="96"/>
      <c r="F45" s="96"/>
      <c r="G45" s="96"/>
      <c r="H45" s="96"/>
      <c r="I45" s="96"/>
      <c r="J45" s="336"/>
      <c r="K45" s="107" t="s">
        <v>8</v>
      </c>
      <c r="L45" s="127"/>
      <c r="M45" s="1510"/>
      <c r="N45" s="1506"/>
      <c r="O45" s="209"/>
      <c r="P45" s="209"/>
      <c r="Q45" s="209"/>
      <c r="R45" s="209"/>
      <c r="S45" s="1554"/>
    </row>
    <row r="46" spans="1:19" x14ac:dyDescent="0.2">
      <c r="A46" s="1544">
        <f t="shared" si="0"/>
        <v>36</v>
      </c>
      <c r="B46" s="96" t="s">
        <v>714</v>
      </c>
      <c r="C46" s="1499"/>
      <c r="D46" s="1499"/>
      <c r="E46" s="1499"/>
      <c r="F46" s="1499"/>
      <c r="G46" s="1499"/>
      <c r="H46" s="1499"/>
      <c r="I46" s="1499"/>
      <c r="J46" s="374"/>
      <c r="K46" s="107" t="s">
        <v>9</v>
      </c>
      <c r="L46" s="127"/>
      <c r="M46" s="1510"/>
      <c r="N46" s="1506"/>
      <c r="O46" s="209"/>
      <c r="P46" s="209"/>
      <c r="Q46" s="209"/>
      <c r="R46" s="209"/>
      <c r="S46" s="1554"/>
    </row>
    <row r="47" spans="1:19" x14ac:dyDescent="0.2">
      <c r="A47" s="1544">
        <f t="shared" si="0"/>
        <v>37</v>
      </c>
      <c r="B47" s="96" t="s">
        <v>219</v>
      </c>
      <c r="C47" s="96"/>
      <c r="D47" s="96"/>
      <c r="E47" s="96"/>
      <c r="F47" s="96"/>
      <c r="G47" s="96"/>
      <c r="H47" s="96"/>
      <c r="I47" s="96"/>
      <c r="J47" s="336"/>
      <c r="K47" s="107" t="s">
        <v>10</v>
      </c>
      <c r="L47" s="125"/>
      <c r="M47" s="1506"/>
      <c r="N47" s="1506"/>
      <c r="O47" s="209"/>
      <c r="P47" s="209"/>
      <c r="Q47" s="209"/>
      <c r="R47" s="209"/>
      <c r="S47" s="1554"/>
    </row>
    <row r="48" spans="1:19" x14ac:dyDescent="0.2">
      <c r="A48" s="1544">
        <f t="shared" si="0"/>
        <v>38</v>
      </c>
      <c r="B48" s="1505" t="s">
        <v>220</v>
      </c>
      <c r="C48" s="96">
        <f>L24-(C34+C43+C44)</f>
        <v>64515</v>
      </c>
      <c r="D48" s="96">
        <f>M24-(D34+D43+D44)</f>
        <v>117533</v>
      </c>
      <c r="E48" s="96">
        <f>N24-(E34+E43+E44)</f>
        <v>182048</v>
      </c>
      <c r="F48" s="96">
        <f t="shared" ref="F48:J48" si="10">O24-(F34+F43+F44)</f>
        <v>896</v>
      </c>
      <c r="G48" s="96">
        <f t="shared" si="10"/>
        <v>9813</v>
      </c>
      <c r="H48" s="96">
        <f t="shared" si="10"/>
        <v>65411</v>
      </c>
      <c r="I48" s="96">
        <f t="shared" si="10"/>
        <v>127346</v>
      </c>
      <c r="J48" s="336">
        <f t="shared" si="10"/>
        <v>192757</v>
      </c>
      <c r="K48" s="107" t="s">
        <v>11</v>
      </c>
      <c r="L48" s="125"/>
      <c r="M48" s="1506"/>
      <c r="N48" s="1506"/>
      <c r="O48" s="209"/>
      <c r="P48" s="209"/>
      <c r="Q48" s="209"/>
      <c r="R48" s="209"/>
      <c r="S48" s="1554"/>
    </row>
    <row r="49" spans="1:19" x14ac:dyDescent="0.2">
      <c r="A49" s="1544">
        <f t="shared" si="0"/>
        <v>39</v>
      </c>
      <c r="B49" s="1505" t="s">
        <v>221</v>
      </c>
      <c r="C49" s="96">
        <f>L33-C33</f>
        <v>0</v>
      </c>
      <c r="D49" s="96">
        <f>M33-D33</f>
        <v>10870</v>
      </c>
      <c r="E49" s="96">
        <f>N33-E33</f>
        <v>10870</v>
      </c>
      <c r="F49" s="96">
        <f t="shared" ref="F49:J49" si="11">O33-F33</f>
        <v>0</v>
      </c>
      <c r="G49" s="96">
        <f t="shared" si="11"/>
        <v>0</v>
      </c>
      <c r="H49" s="96">
        <f t="shared" si="11"/>
        <v>0</v>
      </c>
      <c r="I49" s="96">
        <f t="shared" si="11"/>
        <v>10870</v>
      </c>
      <c r="J49" s="336">
        <f t="shared" si="11"/>
        <v>10870</v>
      </c>
      <c r="K49" s="107" t="s">
        <v>12</v>
      </c>
      <c r="L49" s="125"/>
      <c r="M49" s="1506"/>
      <c r="N49" s="1506"/>
      <c r="O49" s="209"/>
      <c r="P49" s="209"/>
      <c r="Q49" s="209"/>
      <c r="R49" s="209"/>
      <c r="S49" s="1554"/>
    </row>
    <row r="50" spans="1:19" x14ac:dyDescent="0.2">
      <c r="A50" s="1544">
        <f t="shared" si="0"/>
        <v>40</v>
      </c>
      <c r="B50" s="96" t="s">
        <v>1</v>
      </c>
      <c r="C50" s="96"/>
      <c r="D50" s="96"/>
      <c r="E50" s="96"/>
      <c r="F50" s="96"/>
      <c r="G50" s="96"/>
      <c r="H50" s="96"/>
      <c r="I50" s="96"/>
      <c r="J50" s="336"/>
      <c r="K50" s="107" t="s">
        <v>13</v>
      </c>
      <c r="L50" s="125"/>
      <c r="M50" s="1506"/>
      <c r="N50" s="1506"/>
      <c r="O50" s="209"/>
      <c r="P50" s="209"/>
      <c r="Q50" s="209"/>
      <c r="R50" s="209"/>
      <c r="S50" s="1554"/>
    </row>
    <row r="51" spans="1:19" x14ac:dyDescent="0.2">
      <c r="A51" s="1544">
        <f t="shared" si="0"/>
        <v>41</v>
      </c>
      <c r="B51" s="96"/>
      <c r="C51" s="96"/>
      <c r="D51" s="96"/>
      <c r="E51" s="96"/>
      <c r="F51" s="96"/>
      <c r="G51" s="96"/>
      <c r="H51" s="96"/>
      <c r="I51" s="96"/>
      <c r="J51" s="336"/>
      <c r="K51" s="107" t="s">
        <v>14</v>
      </c>
      <c r="L51" s="125"/>
      <c r="M51" s="1506"/>
      <c r="N51" s="1506"/>
      <c r="O51" s="209"/>
      <c r="P51" s="209"/>
      <c r="Q51" s="209"/>
      <c r="R51" s="209"/>
      <c r="S51" s="1554"/>
    </row>
    <row r="52" spans="1:19" x14ac:dyDescent="0.2">
      <c r="A52" s="1544">
        <f t="shared" si="0"/>
        <v>42</v>
      </c>
      <c r="B52" s="96"/>
      <c r="C52" s="96"/>
      <c r="D52" s="96"/>
      <c r="E52" s="96"/>
      <c r="F52" s="96"/>
      <c r="G52" s="96"/>
      <c r="H52" s="96"/>
      <c r="I52" s="96"/>
      <c r="J52" s="336"/>
      <c r="K52" s="107" t="s">
        <v>15</v>
      </c>
      <c r="L52" s="125"/>
      <c r="M52" s="1506"/>
      <c r="N52" s="1506"/>
      <c r="O52" s="209"/>
      <c r="P52" s="209"/>
      <c r="Q52" s="209"/>
      <c r="R52" s="209"/>
      <c r="S52" s="1554"/>
    </row>
    <row r="53" spans="1:19" ht="12" thickBot="1" x14ac:dyDescent="0.25">
      <c r="A53" s="1544">
        <f t="shared" si="0"/>
        <v>43</v>
      </c>
      <c r="B53" s="129" t="s">
        <v>463</v>
      </c>
      <c r="C53" s="1499">
        <f>SUM(C39:C51)</f>
        <v>68419</v>
      </c>
      <c r="D53" s="1499">
        <f>SUM(D39:D51)</f>
        <v>128403</v>
      </c>
      <c r="E53" s="1499">
        <f>SUM(E39:E51)</f>
        <v>196822</v>
      </c>
      <c r="F53" s="1499">
        <f t="shared" ref="F53:J53" si="12">SUM(F39:F51)</f>
        <v>896</v>
      </c>
      <c r="G53" s="1499">
        <f t="shared" si="12"/>
        <v>9813</v>
      </c>
      <c r="H53" s="1499">
        <f t="shared" si="12"/>
        <v>69315</v>
      </c>
      <c r="I53" s="1499">
        <f t="shared" si="12"/>
        <v>138216</v>
      </c>
      <c r="J53" s="374">
        <f t="shared" si="12"/>
        <v>207531</v>
      </c>
      <c r="K53" s="1580" t="s">
        <v>456</v>
      </c>
      <c r="L53" s="127">
        <f>SUM(L39:L52)</f>
        <v>0</v>
      </c>
      <c r="M53" s="1510">
        <f>SUM(M39:M52)</f>
        <v>0</v>
      </c>
      <c r="N53" s="1510">
        <f>SUM(N39:N52)</f>
        <v>0</v>
      </c>
      <c r="O53" s="209"/>
      <c r="P53" s="209"/>
      <c r="Q53" s="209"/>
      <c r="R53" s="209"/>
      <c r="S53" s="1554"/>
    </row>
    <row r="54" spans="1:19" ht="12" thickBot="1" x14ac:dyDescent="0.25">
      <c r="A54" s="710">
        <f t="shared" si="0"/>
        <v>44</v>
      </c>
      <c r="B54" s="1520" t="s">
        <v>458</v>
      </c>
      <c r="C54" s="700">
        <f>C34+C53</f>
        <v>117709</v>
      </c>
      <c r="D54" s="700">
        <f>D34+D53</f>
        <v>165258</v>
      </c>
      <c r="E54" s="700">
        <f>E34+E53</f>
        <v>282967</v>
      </c>
      <c r="F54" s="700">
        <f t="shared" ref="F54:J54" si="13">F34+F53</f>
        <v>10219</v>
      </c>
      <c r="G54" s="700">
        <f t="shared" si="13"/>
        <v>12360</v>
      </c>
      <c r="H54" s="700">
        <f t="shared" si="13"/>
        <v>127928</v>
      </c>
      <c r="I54" s="700">
        <f t="shared" si="13"/>
        <v>177618</v>
      </c>
      <c r="J54" s="700">
        <f t="shared" si="13"/>
        <v>305546</v>
      </c>
      <c r="K54" s="700" t="s">
        <v>457</v>
      </c>
      <c r="L54" s="700">
        <f>L34+L53</f>
        <v>117709</v>
      </c>
      <c r="M54" s="708">
        <f>M34+M53</f>
        <v>165258</v>
      </c>
      <c r="N54" s="708">
        <f>N34+N53</f>
        <v>282967</v>
      </c>
      <c r="O54" s="708">
        <f t="shared" ref="O54:S54" si="14">O34+O53</f>
        <v>10219</v>
      </c>
      <c r="P54" s="708">
        <f t="shared" si="14"/>
        <v>12360</v>
      </c>
      <c r="Q54" s="708">
        <f t="shared" si="14"/>
        <v>127928</v>
      </c>
      <c r="R54" s="708">
        <f t="shared" si="14"/>
        <v>177618</v>
      </c>
      <c r="S54" s="1561">
        <f t="shared" si="14"/>
        <v>305546</v>
      </c>
    </row>
    <row r="55" spans="1:19" x14ac:dyDescent="0.2">
      <c r="B55" s="131"/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4"/>
      <c r="N55" s="134"/>
    </row>
  </sheetData>
  <mergeCells count="16">
    <mergeCell ref="A1:S1"/>
    <mergeCell ref="A8:A10"/>
    <mergeCell ref="B8:B9"/>
    <mergeCell ref="K8:K9"/>
    <mergeCell ref="C9:E9"/>
    <mergeCell ref="L9:N9"/>
    <mergeCell ref="F9:G9"/>
    <mergeCell ref="H9:J9"/>
    <mergeCell ref="C8:J8"/>
    <mergeCell ref="O9:P9"/>
    <mergeCell ref="Q9:S9"/>
    <mergeCell ref="L8:S8"/>
    <mergeCell ref="B4:S4"/>
    <mergeCell ref="B5:S5"/>
    <mergeCell ref="B6:S6"/>
    <mergeCell ref="B7:S7"/>
  </mergeCells>
  <pageMargins left="0.70866141732283472" right="0.70866141732283472" top="0.74803149606299213" bottom="0.74803149606299213" header="0.31496062992125984" footer="0.31496062992125984"/>
  <pageSetup paperSize="8" scale="74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56"/>
  <sheetViews>
    <sheetView zoomScale="120" workbookViewId="0">
      <selection activeCell="B56" sqref="B56"/>
    </sheetView>
  </sheetViews>
  <sheetFormatPr defaultColWidth="9.140625" defaultRowHeight="11.25" x14ac:dyDescent="0.2"/>
  <cols>
    <col min="1" max="1" width="4.85546875" style="119" customWidth="1"/>
    <col min="2" max="2" width="36.7109375" style="119" customWidth="1"/>
    <col min="3" max="10" width="9.5703125" style="120" customWidth="1"/>
    <col min="11" max="11" width="38" style="120" customWidth="1"/>
    <col min="12" max="12" width="7.5703125" style="120" customWidth="1"/>
    <col min="13" max="13" width="10.140625" style="208" customWidth="1"/>
    <col min="14" max="14" width="9.42578125" style="208" customWidth="1"/>
    <col min="15" max="15" width="9.140625" style="119"/>
    <col min="16" max="16384" width="9.140625" style="10"/>
  </cols>
  <sheetData>
    <row r="1" spans="1:19" ht="12.75" customHeight="1" x14ac:dyDescent="0.2">
      <c r="A1" s="1438" t="s">
        <v>1310</v>
      </c>
      <c r="B1" s="1438"/>
      <c r="C1" s="1438"/>
      <c r="D1" s="1438"/>
      <c r="E1" s="1438"/>
      <c r="F1" s="1438"/>
      <c r="G1" s="1438"/>
      <c r="H1" s="1438"/>
      <c r="I1" s="1438"/>
      <c r="J1" s="1438"/>
      <c r="K1" s="1438"/>
      <c r="L1" s="1438"/>
      <c r="M1" s="1438"/>
      <c r="N1" s="1438"/>
      <c r="O1" s="1438"/>
      <c r="P1" s="1438"/>
      <c r="Q1" s="1438"/>
      <c r="R1" s="1438"/>
      <c r="S1" s="1438"/>
    </row>
    <row r="2" spans="1:19" x14ac:dyDescent="0.2">
      <c r="N2" s="254"/>
    </row>
    <row r="3" spans="1:19" x14ac:dyDescent="0.2">
      <c r="N3" s="254"/>
    </row>
    <row r="4" spans="1:19" s="99" customFormat="1" ht="12.75" customHeight="1" x14ac:dyDescent="0.2">
      <c r="A4" s="1215" t="s">
        <v>78</v>
      </c>
      <c r="B4" s="1215"/>
      <c r="C4" s="1215"/>
      <c r="D4" s="1215"/>
      <c r="E4" s="1215"/>
      <c r="F4" s="1215"/>
      <c r="G4" s="1215"/>
      <c r="H4" s="1215"/>
      <c r="I4" s="1215"/>
      <c r="J4" s="1215"/>
      <c r="K4" s="1215"/>
      <c r="L4" s="1215"/>
      <c r="M4" s="1215"/>
      <c r="N4" s="1215"/>
      <c r="O4" s="1215"/>
      <c r="P4" s="1215"/>
      <c r="Q4" s="1215"/>
      <c r="R4" s="1215"/>
      <c r="S4" s="1215"/>
    </row>
    <row r="5" spans="1:19" s="99" customFormat="1" ht="12.75" customHeight="1" x14ac:dyDescent="0.2">
      <c r="A5" s="1338" t="s">
        <v>742</v>
      </c>
      <c r="B5" s="1338"/>
      <c r="C5" s="1338"/>
      <c r="D5" s="1338"/>
      <c r="E5" s="1338"/>
      <c r="F5" s="1338"/>
      <c r="G5" s="1338"/>
      <c r="H5" s="1338"/>
      <c r="I5" s="1338"/>
      <c r="J5" s="1338"/>
      <c r="K5" s="1338"/>
      <c r="L5" s="1338"/>
      <c r="M5" s="1338"/>
      <c r="N5" s="1338"/>
      <c r="O5" s="1338"/>
      <c r="P5" s="1338"/>
      <c r="Q5" s="1338"/>
      <c r="R5" s="1338"/>
      <c r="S5" s="1338"/>
    </row>
    <row r="6" spans="1:19" s="99" customFormat="1" ht="12.75" customHeight="1" x14ac:dyDescent="0.2">
      <c r="A6" s="1215" t="s">
        <v>1105</v>
      </c>
      <c r="B6" s="1215"/>
      <c r="C6" s="1215"/>
      <c r="D6" s="1215"/>
      <c r="E6" s="1215"/>
      <c r="F6" s="1215"/>
      <c r="G6" s="1215"/>
      <c r="H6" s="1215"/>
      <c r="I6" s="1215"/>
      <c r="J6" s="1215"/>
      <c r="K6" s="1215"/>
      <c r="L6" s="1215"/>
      <c r="M6" s="1215"/>
      <c r="N6" s="1215"/>
      <c r="O6" s="1215"/>
      <c r="P6" s="1215"/>
      <c r="Q6" s="1215"/>
      <c r="R6" s="1215"/>
      <c r="S6" s="1215"/>
    </row>
    <row r="7" spans="1:19" s="99" customFormat="1" x14ac:dyDescent="0.2">
      <c r="A7" s="122"/>
      <c r="B7" s="1226" t="s">
        <v>315</v>
      </c>
      <c r="C7" s="1226"/>
      <c r="D7" s="1226"/>
      <c r="E7" s="1226"/>
      <c r="F7" s="1226"/>
      <c r="G7" s="1226"/>
      <c r="H7" s="1226"/>
      <c r="I7" s="1226"/>
      <c r="J7" s="1226"/>
      <c r="K7" s="1226"/>
      <c r="L7" s="1226"/>
      <c r="M7" s="1226"/>
      <c r="N7" s="1226"/>
      <c r="O7" s="1226"/>
      <c r="P7" s="1226"/>
      <c r="Q7" s="1226"/>
      <c r="R7" s="1226"/>
      <c r="S7" s="1226"/>
    </row>
    <row r="8" spans="1:19" s="99" customFormat="1" ht="12.75" customHeight="1" x14ac:dyDescent="0.2">
      <c r="A8" s="1545" t="s">
        <v>56</v>
      </c>
      <c r="B8" s="1589" t="s">
        <v>57</v>
      </c>
      <c r="C8" s="1558" t="s">
        <v>58</v>
      </c>
      <c r="D8" s="1557"/>
      <c r="E8" s="1557"/>
      <c r="F8" s="1557"/>
      <c r="G8" s="1557"/>
      <c r="H8" s="1557"/>
      <c r="I8" s="1557"/>
      <c r="J8" s="1559"/>
      <c r="K8" s="1560" t="s">
        <v>59</v>
      </c>
      <c r="L8" s="1227" t="s">
        <v>60</v>
      </c>
      <c r="M8" s="1227"/>
      <c r="N8" s="1227"/>
      <c r="O8" s="1227"/>
      <c r="P8" s="1227"/>
      <c r="Q8" s="1227"/>
      <c r="R8" s="1227"/>
      <c r="S8" s="1227"/>
    </row>
    <row r="9" spans="1:19" s="99" customFormat="1" ht="12.75" customHeight="1" x14ac:dyDescent="0.2">
      <c r="A9" s="1546"/>
      <c r="B9" s="1590"/>
      <c r="C9" s="1228" t="s">
        <v>1316</v>
      </c>
      <c r="D9" s="1228"/>
      <c r="E9" s="1229"/>
      <c r="F9" s="1220" t="s">
        <v>1293</v>
      </c>
      <c r="G9" s="1220"/>
      <c r="H9" s="1222" t="s">
        <v>1315</v>
      </c>
      <c r="I9" s="1223"/>
      <c r="J9" s="1224"/>
      <c r="K9" s="1336"/>
      <c r="L9" s="1228" t="s">
        <v>1316</v>
      </c>
      <c r="M9" s="1228"/>
      <c r="N9" s="1229"/>
      <c r="O9" s="1220" t="s">
        <v>1293</v>
      </c>
      <c r="P9" s="1220"/>
      <c r="Q9" s="1222" t="s">
        <v>1315</v>
      </c>
      <c r="R9" s="1223"/>
      <c r="S9" s="1224"/>
    </row>
    <row r="10" spans="1:19" s="100" customFormat="1" ht="36.6" customHeight="1" x14ac:dyDescent="0.2">
      <c r="A10" s="1547"/>
      <c r="B10" s="1591" t="s">
        <v>61</v>
      </c>
      <c r="C10" s="1532" t="s">
        <v>62</v>
      </c>
      <c r="D10" s="1532" t="s">
        <v>63</v>
      </c>
      <c r="E10" s="1533" t="s">
        <v>64</v>
      </c>
      <c r="F10" s="1534" t="s">
        <v>62</v>
      </c>
      <c r="G10" s="1534" t="s">
        <v>63</v>
      </c>
      <c r="H10" s="1532" t="s">
        <v>62</v>
      </c>
      <c r="I10" s="1532" t="s">
        <v>63</v>
      </c>
      <c r="J10" s="1535" t="s">
        <v>64</v>
      </c>
      <c r="K10" s="1588" t="s">
        <v>65</v>
      </c>
      <c r="L10" s="757" t="s">
        <v>62</v>
      </c>
      <c r="M10" s="756" t="s">
        <v>63</v>
      </c>
      <c r="N10" s="756" t="s">
        <v>64</v>
      </c>
      <c r="O10" s="757" t="s">
        <v>62</v>
      </c>
      <c r="P10" s="757" t="s">
        <v>63</v>
      </c>
      <c r="Q10" s="757" t="s">
        <v>62</v>
      </c>
      <c r="R10" s="757" t="s">
        <v>63</v>
      </c>
      <c r="S10" s="757" t="s">
        <v>64</v>
      </c>
    </row>
    <row r="11" spans="1:19" ht="11.45" customHeight="1" x14ac:dyDescent="0.2">
      <c r="A11" s="1544">
        <v>1</v>
      </c>
      <c r="B11" s="1592" t="s">
        <v>24</v>
      </c>
      <c r="C11" s="127"/>
      <c r="D11" s="127"/>
      <c r="E11" s="127"/>
      <c r="F11" s="127"/>
      <c r="G11" s="127"/>
      <c r="H11" s="127"/>
      <c r="I11" s="127"/>
      <c r="J11" s="1516"/>
      <c r="K11" s="1580" t="s">
        <v>25</v>
      </c>
      <c r="L11" s="127"/>
      <c r="M11" s="1510"/>
      <c r="N11" s="1506"/>
      <c r="O11" s="209"/>
      <c r="P11" s="209"/>
      <c r="Q11" s="209"/>
      <c r="R11" s="209"/>
      <c r="S11" s="1554"/>
    </row>
    <row r="12" spans="1:19" x14ac:dyDescent="0.2">
      <c r="A12" s="1544">
        <f t="shared" ref="A12:A54" si="0">A11+1</f>
        <v>2</v>
      </c>
      <c r="B12" s="1587" t="s">
        <v>35</v>
      </c>
      <c r="C12" s="96"/>
      <c r="D12" s="96"/>
      <c r="E12" s="96"/>
      <c r="F12" s="96"/>
      <c r="G12" s="96"/>
      <c r="H12" s="96"/>
      <c r="I12" s="96"/>
      <c r="J12" s="336"/>
      <c r="K12" s="107" t="s">
        <v>223</v>
      </c>
      <c r="L12" s="203">
        <v>76982</v>
      </c>
      <c r="M12" s="203">
        <v>158095</v>
      </c>
      <c r="N12" s="1491">
        <f>SUM(L12:M12)</f>
        <v>235077</v>
      </c>
      <c r="O12" s="1506"/>
      <c r="P12" s="1506">
        <v>3066</v>
      </c>
      <c r="Q12" s="1506">
        <f>L12+O12</f>
        <v>76982</v>
      </c>
      <c r="R12" s="1506">
        <f>M12+P12</f>
        <v>161161</v>
      </c>
      <c r="S12" s="1530">
        <f>Q12+R12</f>
        <v>238143</v>
      </c>
    </row>
    <row r="13" spans="1:19" x14ac:dyDescent="0.2">
      <c r="A13" s="1544">
        <f t="shared" si="0"/>
        <v>3</v>
      </c>
      <c r="B13" s="1587" t="s">
        <v>36</v>
      </c>
      <c r="C13" s="96"/>
      <c r="D13" s="96"/>
      <c r="E13" s="96"/>
      <c r="F13" s="96"/>
      <c r="G13" s="96"/>
      <c r="H13" s="96"/>
      <c r="I13" s="96"/>
      <c r="J13" s="336"/>
      <c r="K13" s="107" t="s">
        <v>224</v>
      </c>
      <c r="L13" s="203">
        <v>13455</v>
      </c>
      <c r="M13" s="203">
        <v>34366</v>
      </c>
      <c r="N13" s="1491">
        <f>SUM(L13:M13)</f>
        <v>47821</v>
      </c>
      <c r="O13" s="1506"/>
      <c r="P13" s="1506">
        <v>299</v>
      </c>
      <c r="Q13" s="1506">
        <f t="shared" ref="Q13:Q14" si="1">L13+O13</f>
        <v>13455</v>
      </c>
      <c r="R13" s="1506">
        <f t="shared" ref="R13:R14" si="2">M13+P13</f>
        <v>34665</v>
      </c>
      <c r="S13" s="1530">
        <f t="shared" ref="S13:S14" si="3">Q13+R13</f>
        <v>48120</v>
      </c>
    </row>
    <row r="14" spans="1:19" x14ac:dyDescent="0.2">
      <c r="A14" s="1544">
        <f t="shared" si="0"/>
        <v>4</v>
      </c>
      <c r="B14" s="1587" t="s">
        <v>200</v>
      </c>
      <c r="C14" s="203">
        <f>'tám, végl. pe.átv  '!C76</f>
        <v>19891</v>
      </c>
      <c r="D14" s="203">
        <f>'tám, végl. pe.átv  '!D76</f>
        <v>2380</v>
      </c>
      <c r="E14" s="203">
        <f>SUM(C14:D14)</f>
        <v>22271</v>
      </c>
      <c r="F14" s="203">
        <v>830</v>
      </c>
      <c r="G14" s="203">
        <v>3365</v>
      </c>
      <c r="H14" s="203">
        <f>C14+F14</f>
        <v>20721</v>
      </c>
      <c r="I14" s="203">
        <f>D14+G14</f>
        <v>5745</v>
      </c>
      <c r="J14" s="349">
        <f>H14+I14</f>
        <v>26466</v>
      </c>
      <c r="K14" s="107" t="s">
        <v>225</v>
      </c>
      <c r="L14" s="203">
        <v>47461</v>
      </c>
      <c r="M14" s="203">
        <v>89758</v>
      </c>
      <c r="N14" s="1491">
        <f>SUM(L14:M14)</f>
        <v>137219</v>
      </c>
      <c r="O14" s="1506"/>
      <c r="P14" s="1506"/>
      <c r="Q14" s="1506">
        <f t="shared" si="1"/>
        <v>47461</v>
      </c>
      <c r="R14" s="1506">
        <f t="shared" si="2"/>
        <v>89758</v>
      </c>
      <c r="S14" s="1530">
        <f t="shared" si="3"/>
        <v>137219</v>
      </c>
    </row>
    <row r="15" spans="1:19" ht="12" customHeight="1" x14ac:dyDescent="0.2">
      <c r="A15" s="1544">
        <f t="shared" si="0"/>
        <v>5</v>
      </c>
      <c r="B15" s="1593"/>
      <c r="C15" s="96"/>
      <c r="D15" s="96"/>
      <c r="E15" s="96"/>
      <c r="F15" s="96"/>
      <c r="G15" s="96"/>
      <c r="H15" s="203"/>
      <c r="I15" s="203"/>
      <c r="J15" s="349"/>
      <c r="K15" s="107"/>
      <c r="L15" s="1562"/>
      <c r="M15" s="1562"/>
      <c r="N15" s="203"/>
      <c r="O15" s="209"/>
      <c r="P15" s="209"/>
      <c r="Q15" s="209"/>
      <c r="R15" s="209"/>
      <c r="S15" s="1530"/>
    </row>
    <row r="16" spans="1:19" x14ac:dyDescent="0.2">
      <c r="A16" s="1544">
        <f t="shared" si="0"/>
        <v>6</v>
      </c>
      <c r="B16" s="1587" t="s">
        <v>38</v>
      </c>
      <c r="C16" s="96"/>
      <c r="D16" s="96"/>
      <c r="E16" s="96"/>
      <c r="F16" s="96"/>
      <c r="G16" s="96"/>
      <c r="H16" s="203"/>
      <c r="I16" s="203"/>
      <c r="J16" s="349"/>
      <c r="K16" s="107" t="s">
        <v>28</v>
      </c>
      <c r="L16" s="125"/>
      <c r="M16" s="1506"/>
      <c r="N16" s="1506"/>
      <c r="O16" s="209"/>
      <c r="P16" s="209"/>
      <c r="Q16" s="209"/>
      <c r="R16" s="209"/>
      <c r="S16" s="1554"/>
    </row>
    <row r="17" spans="1:19" x14ac:dyDescent="0.2">
      <c r="A17" s="1544">
        <f t="shared" si="0"/>
        <v>7</v>
      </c>
      <c r="B17" s="1587"/>
      <c r="C17" s="96"/>
      <c r="D17" s="96"/>
      <c r="E17" s="96"/>
      <c r="F17" s="96"/>
      <c r="G17" s="96"/>
      <c r="H17" s="203"/>
      <c r="I17" s="203"/>
      <c r="J17" s="349"/>
      <c r="K17" s="107" t="s">
        <v>30</v>
      </c>
      <c r="L17" s="125"/>
      <c r="M17" s="1506"/>
      <c r="N17" s="1506"/>
      <c r="O17" s="209"/>
      <c r="P17" s="209"/>
      <c r="Q17" s="209"/>
      <c r="R17" s="209"/>
      <c r="S17" s="1554"/>
    </row>
    <row r="18" spans="1:19" x14ac:dyDescent="0.2">
      <c r="A18" s="1544">
        <f t="shared" si="0"/>
        <v>8</v>
      </c>
      <c r="B18" s="1587" t="s">
        <v>39</v>
      </c>
      <c r="C18" s="96"/>
      <c r="D18" s="96"/>
      <c r="E18" s="96"/>
      <c r="F18" s="96"/>
      <c r="G18" s="96"/>
      <c r="H18" s="203"/>
      <c r="I18" s="203"/>
      <c r="J18" s="349"/>
      <c r="K18" s="107" t="s">
        <v>461</v>
      </c>
      <c r="L18" s="125"/>
      <c r="M18" s="1506"/>
      <c r="N18" s="1506"/>
      <c r="O18" s="209"/>
      <c r="P18" s="209"/>
      <c r="Q18" s="209"/>
      <c r="R18" s="209"/>
      <c r="S18" s="1554"/>
    </row>
    <row r="19" spans="1:19" x14ac:dyDescent="0.2">
      <c r="A19" s="1544">
        <f t="shared" si="0"/>
        <v>9</v>
      </c>
      <c r="B19" s="1594" t="s">
        <v>40</v>
      </c>
      <c r="C19" s="1538"/>
      <c r="D19" s="1538"/>
      <c r="E19" s="1538"/>
      <c r="F19" s="1538"/>
      <c r="G19" s="1538"/>
      <c r="H19" s="203"/>
      <c r="I19" s="203"/>
      <c r="J19" s="349"/>
      <c r="K19" s="107" t="s">
        <v>460</v>
      </c>
      <c r="L19" s="125"/>
      <c r="M19" s="1506"/>
      <c r="N19" s="1506"/>
      <c r="O19" s="209"/>
      <c r="P19" s="209"/>
      <c r="Q19" s="209"/>
      <c r="R19" s="209"/>
      <c r="S19" s="1554"/>
    </row>
    <row r="20" spans="1:19" x14ac:dyDescent="0.2">
      <c r="A20" s="1544">
        <f t="shared" si="0"/>
        <v>10</v>
      </c>
      <c r="B20" s="1587" t="s">
        <v>202</v>
      </c>
      <c r="C20" s="1491">
        <v>18446</v>
      </c>
      <c r="D20" s="1491">
        <v>65832</v>
      </c>
      <c r="E20" s="1538">
        <f>SUM(C20:D20)</f>
        <v>84278</v>
      </c>
      <c r="F20" s="1538"/>
      <c r="G20" s="1538"/>
      <c r="H20" s="203">
        <f t="shared" ref="H20:H25" si="4">C20+F20</f>
        <v>18446</v>
      </c>
      <c r="I20" s="203">
        <f t="shared" ref="I20:I25" si="5">D20+G20</f>
        <v>65832</v>
      </c>
      <c r="J20" s="349">
        <f t="shared" ref="J20:J25" si="6">H20+I20</f>
        <v>84278</v>
      </c>
      <c r="K20" s="107" t="s">
        <v>959</v>
      </c>
      <c r="L20" s="125"/>
      <c r="M20" s="1506"/>
      <c r="N20" s="1506"/>
      <c r="O20" s="209"/>
      <c r="P20" s="209"/>
      <c r="Q20" s="209"/>
      <c r="R20" s="209"/>
      <c r="S20" s="1554"/>
    </row>
    <row r="21" spans="1:19" x14ac:dyDescent="0.2">
      <c r="A21" s="1544">
        <f t="shared" si="0"/>
        <v>11</v>
      </c>
      <c r="B21" s="1595"/>
      <c r="C21" s="1538"/>
      <c r="D21" s="1538"/>
      <c r="E21" s="1538"/>
      <c r="F21" s="1538"/>
      <c r="G21" s="1538"/>
      <c r="H21" s="203"/>
      <c r="I21" s="203"/>
      <c r="J21" s="349"/>
      <c r="K21" s="107" t="s">
        <v>453</v>
      </c>
      <c r="L21" s="125"/>
      <c r="M21" s="1506"/>
      <c r="N21" s="1506"/>
      <c r="O21" s="209"/>
      <c r="P21" s="209"/>
      <c r="Q21" s="209"/>
      <c r="R21" s="209"/>
      <c r="S21" s="1554"/>
    </row>
    <row r="22" spans="1:19" s="101" customFormat="1" x14ac:dyDescent="0.2">
      <c r="A22" s="1544">
        <f t="shared" si="0"/>
        <v>12</v>
      </c>
      <c r="B22" s="1595" t="s">
        <v>42</v>
      </c>
      <c r="C22" s="1538"/>
      <c r="D22" s="1538"/>
      <c r="E22" s="1538"/>
      <c r="F22" s="1538"/>
      <c r="G22" s="1538"/>
      <c r="H22" s="203"/>
      <c r="I22" s="203"/>
      <c r="J22" s="349"/>
      <c r="K22" s="107" t="s">
        <v>454</v>
      </c>
      <c r="L22" s="125"/>
      <c r="M22" s="1506"/>
      <c r="N22" s="1506"/>
      <c r="O22" s="1508"/>
      <c r="P22" s="1508"/>
      <c r="Q22" s="1508"/>
      <c r="R22" s="1508"/>
      <c r="S22" s="1555"/>
    </row>
    <row r="23" spans="1:19" s="101" customFormat="1" x14ac:dyDescent="0.2">
      <c r="A23" s="1544">
        <f t="shared" si="0"/>
        <v>13</v>
      </c>
      <c r="B23" s="1595" t="s">
        <v>43</v>
      </c>
      <c r="C23" s="1538"/>
      <c r="D23" s="1538"/>
      <c r="E23" s="1538"/>
      <c r="F23" s="1538"/>
      <c r="G23" s="1538"/>
      <c r="H23" s="203"/>
      <c r="I23" s="203"/>
      <c r="J23" s="349"/>
      <c r="K23" s="1582"/>
      <c r="L23" s="125"/>
      <c r="M23" s="1506"/>
      <c r="N23" s="1506"/>
      <c r="O23" s="1508"/>
      <c r="P23" s="1508"/>
      <c r="Q23" s="1508"/>
      <c r="R23" s="1508"/>
      <c r="S23" s="1555"/>
    </row>
    <row r="24" spans="1:19" x14ac:dyDescent="0.2">
      <c r="A24" s="1544">
        <f t="shared" si="0"/>
        <v>14</v>
      </c>
      <c r="B24" s="1587" t="s">
        <v>44</v>
      </c>
      <c r="C24" s="1540"/>
      <c r="D24" s="1540"/>
      <c r="E24" s="1540"/>
      <c r="F24" s="1540"/>
      <c r="G24" s="1540"/>
      <c r="H24" s="203"/>
      <c r="I24" s="203"/>
      <c r="J24" s="349"/>
      <c r="K24" s="1583" t="s">
        <v>66</v>
      </c>
      <c r="L24" s="1541">
        <f>SUM(L12:L22)</f>
        <v>137898</v>
      </c>
      <c r="M24" s="1509">
        <f>SUM(M12:M22)</f>
        <v>282219</v>
      </c>
      <c r="N24" s="1509">
        <f>SUM(N12:N22)</f>
        <v>420117</v>
      </c>
      <c r="O24" s="1509">
        <f t="shared" ref="O24:S24" si="7">SUM(O12:O22)</f>
        <v>0</v>
      </c>
      <c r="P24" s="1509">
        <f t="shared" si="7"/>
        <v>3365</v>
      </c>
      <c r="Q24" s="1509">
        <f t="shared" si="7"/>
        <v>137898</v>
      </c>
      <c r="R24" s="1509">
        <f t="shared" si="7"/>
        <v>285584</v>
      </c>
      <c r="S24" s="1528">
        <f t="shared" si="7"/>
        <v>423482</v>
      </c>
    </row>
    <row r="25" spans="1:19" x14ac:dyDescent="0.2">
      <c r="A25" s="1544">
        <f t="shared" si="0"/>
        <v>15</v>
      </c>
      <c r="B25" s="1587" t="s">
        <v>45</v>
      </c>
      <c r="C25" s="1538">
        <v>0</v>
      </c>
      <c r="D25" s="1538">
        <v>1417</v>
      </c>
      <c r="E25" s="1538">
        <f>D25+C25</f>
        <v>1417</v>
      </c>
      <c r="F25" s="1538"/>
      <c r="G25" s="1538"/>
      <c r="H25" s="203">
        <f t="shared" si="4"/>
        <v>0</v>
      </c>
      <c r="I25" s="203">
        <f t="shared" si="5"/>
        <v>1417</v>
      </c>
      <c r="J25" s="349">
        <f t="shared" si="6"/>
        <v>1417</v>
      </c>
      <c r="K25" s="1582"/>
      <c r="L25" s="125"/>
      <c r="M25" s="1506"/>
      <c r="N25" s="1506"/>
      <c r="O25" s="209"/>
      <c r="P25" s="209"/>
      <c r="Q25" s="209"/>
      <c r="R25" s="209"/>
      <c r="S25" s="1554"/>
    </row>
    <row r="26" spans="1:19" x14ac:dyDescent="0.2">
      <c r="A26" s="1544">
        <f t="shared" si="0"/>
        <v>16</v>
      </c>
      <c r="B26" s="1587" t="s">
        <v>46</v>
      </c>
      <c r="C26" s="1499"/>
      <c r="D26" s="1499"/>
      <c r="E26" s="1499"/>
      <c r="F26" s="1499"/>
      <c r="G26" s="1499"/>
      <c r="H26" s="1499"/>
      <c r="I26" s="1499"/>
      <c r="J26" s="374"/>
      <c r="K26" s="1580" t="s">
        <v>34</v>
      </c>
      <c r="L26" s="127"/>
      <c r="M26" s="1510"/>
      <c r="N26" s="1506"/>
      <c r="O26" s="209"/>
      <c r="P26" s="209"/>
      <c r="Q26" s="209"/>
      <c r="R26" s="209"/>
      <c r="S26" s="1554"/>
    </row>
    <row r="27" spans="1:19" x14ac:dyDescent="0.2">
      <c r="A27" s="1544">
        <f t="shared" si="0"/>
        <v>17</v>
      </c>
      <c r="B27" s="1587" t="s">
        <v>47</v>
      </c>
      <c r="C27" s="96"/>
      <c r="D27" s="96"/>
      <c r="E27" s="96"/>
      <c r="F27" s="96"/>
      <c r="G27" s="96"/>
      <c r="H27" s="96"/>
      <c r="I27" s="96"/>
      <c r="J27" s="336"/>
      <c r="K27" s="107" t="s">
        <v>281</v>
      </c>
      <c r="L27" s="125">
        <f>'felhalm. kiad.  '!M140</f>
        <v>1000</v>
      </c>
      <c r="M27" s="1506">
        <f>'felhalm. kiad.  '!P140</f>
        <v>2800</v>
      </c>
      <c r="N27" s="1506">
        <f>SUM(L27:M27)</f>
        <v>3800</v>
      </c>
      <c r="O27" s="209">
        <v>830</v>
      </c>
      <c r="P27" s="209"/>
      <c r="Q27" s="1506">
        <f>L27+O27</f>
        <v>1830</v>
      </c>
      <c r="R27" s="1506">
        <f>M27+P27</f>
        <v>2800</v>
      </c>
      <c r="S27" s="1530">
        <f>Q27+R27</f>
        <v>4630</v>
      </c>
    </row>
    <row r="28" spans="1:19" x14ac:dyDescent="0.2">
      <c r="A28" s="1544">
        <f t="shared" si="0"/>
        <v>18</v>
      </c>
      <c r="B28" s="1587"/>
      <c r="C28" s="96"/>
      <c r="D28" s="96"/>
      <c r="E28" s="96"/>
      <c r="F28" s="96"/>
      <c r="G28" s="96"/>
      <c r="H28" s="96"/>
      <c r="I28" s="96"/>
      <c r="J28" s="336"/>
      <c r="K28" s="107" t="s">
        <v>31</v>
      </c>
      <c r="L28" s="125"/>
      <c r="M28" s="1506"/>
      <c r="N28" s="1506"/>
      <c r="O28" s="209"/>
      <c r="P28" s="209"/>
      <c r="Q28" s="209"/>
      <c r="R28" s="209"/>
      <c r="S28" s="1554"/>
    </row>
    <row r="29" spans="1:19" x14ac:dyDescent="0.2">
      <c r="A29" s="1544">
        <f t="shared" si="0"/>
        <v>19</v>
      </c>
      <c r="B29" s="1595" t="s">
        <v>50</v>
      </c>
      <c r="C29" s="96"/>
      <c r="D29" s="96"/>
      <c r="E29" s="96"/>
      <c r="F29" s="96"/>
      <c r="G29" s="96"/>
      <c r="H29" s="96"/>
      <c r="I29" s="96"/>
      <c r="J29" s="336"/>
      <c r="K29" s="107" t="s">
        <v>32</v>
      </c>
      <c r="L29" s="125"/>
      <c r="M29" s="1506"/>
      <c r="N29" s="1506"/>
      <c r="O29" s="209"/>
      <c r="P29" s="209"/>
      <c r="Q29" s="209"/>
      <c r="R29" s="209"/>
      <c r="S29" s="1554"/>
    </row>
    <row r="30" spans="1:19" s="101" customFormat="1" x14ac:dyDescent="0.2">
      <c r="A30" s="1544">
        <f t="shared" si="0"/>
        <v>20</v>
      </c>
      <c r="B30" s="1595" t="s">
        <v>48</v>
      </c>
      <c r="C30" s="96"/>
      <c r="D30" s="96"/>
      <c r="E30" s="96"/>
      <c r="F30" s="96"/>
      <c r="G30" s="96"/>
      <c r="H30" s="96"/>
      <c r="I30" s="96"/>
      <c r="J30" s="336"/>
      <c r="K30" s="107" t="s">
        <v>462</v>
      </c>
      <c r="L30" s="125"/>
      <c r="M30" s="1506"/>
      <c r="N30" s="1506"/>
      <c r="O30" s="1508"/>
      <c r="P30" s="1508"/>
      <c r="Q30" s="1508"/>
      <c r="R30" s="1508"/>
      <c r="S30" s="1555"/>
    </row>
    <row r="31" spans="1:19" x14ac:dyDescent="0.2">
      <c r="A31" s="1544">
        <f t="shared" si="0"/>
        <v>21</v>
      </c>
      <c r="B31" s="1595"/>
      <c r="C31" s="96"/>
      <c r="D31" s="96"/>
      <c r="E31" s="96"/>
      <c r="F31" s="96"/>
      <c r="G31" s="96"/>
      <c r="H31" s="96"/>
      <c r="I31" s="96"/>
      <c r="J31" s="336"/>
      <c r="K31" s="107" t="s">
        <v>459</v>
      </c>
      <c r="L31" s="125"/>
      <c r="M31" s="1506"/>
      <c r="N31" s="1506"/>
      <c r="O31" s="209"/>
      <c r="P31" s="209"/>
      <c r="Q31" s="209"/>
      <c r="R31" s="209"/>
      <c r="S31" s="1554"/>
    </row>
    <row r="32" spans="1:19" s="11" customFormat="1" x14ac:dyDescent="0.2">
      <c r="A32" s="1544">
        <f t="shared" si="0"/>
        <v>22</v>
      </c>
      <c r="B32" s="1596" t="s">
        <v>52</v>
      </c>
      <c r="C32" s="1563">
        <f>C14+C20</f>
        <v>38337</v>
      </c>
      <c r="D32" s="1563">
        <f>D14+D20</f>
        <v>68212</v>
      </c>
      <c r="E32" s="1563">
        <f>E14+E20</f>
        <v>106549</v>
      </c>
      <c r="F32" s="1563">
        <f t="shared" ref="F32:J32" si="8">F14+F20</f>
        <v>830</v>
      </c>
      <c r="G32" s="1563">
        <f t="shared" si="8"/>
        <v>3365</v>
      </c>
      <c r="H32" s="1563">
        <f t="shared" si="8"/>
        <v>39167</v>
      </c>
      <c r="I32" s="1563">
        <f t="shared" si="8"/>
        <v>71577</v>
      </c>
      <c r="J32" s="1597">
        <f t="shared" si="8"/>
        <v>110744</v>
      </c>
      <c r="K32" s="107" t="s">
        <v>455</v>
      </c>
      <c r="L32" s="125"/>
      <c r="M32" s="1506"/>
      <c r="N32" s="1506"/>
      <c r="O32" s="1512"/>
      <c r="P32" s="1512"/>
      <c r="Q32" s="1512"/>
      <c r="R32" s="1512"/>
      <c r="S32" s="1556"/>
    </row>
    <row r="33" spans="1:19" x14ac:dyDescent="0.2">
      <c r="A33" s="1544">
        <f t="shared" si="0"/>
        <v>23</v>
      </c>
      <c r="B33" s="1598" t="s">
        <v>67</v>
      </c>
      <c r="C33" s="1511">
        <f>C16+C24+C25+C26+C27+C30</f>
        <v>0</v>
      </c>
      <c r="D33" s="1511">
        <f t="shared" ref="D33:J33" si="9">D16+D24+D25+D26+D27+D30</f>
        <v>1417</v>
      </c>
      <c r="E33" s="1511">
        <f t="shared" si="9"/>
        <v>1417</v>
      </c>
      <c r="F33" s="1511">
        <f t="shared" si="9"/>
        <v>0</v>
      </c>
      <c r="G33" s="1511">
        <f t="shared" si="9"/>
        <v>0</v>
      </c>
      <c r="H33" s="1511">
        <f t="shared" si="9"/>
        <v>0</v>
      </c>
      <c r="I33" s="1511">
        <f t="shared" si="9"/>
        <v>1417</v>
      </c>
      <c r="J33" s="1577">
        <f t="shared" si="9"/>
        <v>1417</v>
      </c>
      <c r="K33" s="1584" t="s">
        <v>68</v>
      </c>
      <c r="L33" s="1511">
        <f>SUM(L27:L32)</f>
        <v>1000</v>
      </c>
      <c r="M33" s="1523">
        <f>SUM(M27:M32)</f>
        <v>2800</v>
      </c>
      <c r="N33" s="1523">
        <f>SUM(N27:N31)</f>
        <v>3800</v>
      </c>
      <c r="O33" s="1523">
        <f t="shared" ref="O33:S33" si="10">SUM(O27:O31)</f>
        <v>830</v>
      </c>
      <c r="P33" s="1523">
        <f t="shared" si="10"/>
        <v>0</v>
      </c>
      <c r="Q33" s="1523">
        <f t="shared" si="10"/>
        <v>1830</v>
      </c>
      <c r="R33" s="1523">
        <f t="shared" si="10"/>
        <v>2800</v>
      </c>
      <c r="S33" s="1551">
        <f t="shared" si="10"/>
        <v>4630</v>
      </c>
    </row>
    <row r="34" spans="1:19" x14ac:dyDescent="0.2">
      <c r="A34" s="1544">
        <f t="shared" si="0"/>
        <v>24</v>
      </c>
      <c r="B34" s="1599" t="s">
        <v>51</v>
      </c>
      <c r="C34" s="127">
        <f>SUM(C32:C33)</f>
        <v>38337</v>
      </c>
      <c r="D34" s="127">
        <f>SUM(D32:D33)</f>
        <v>69629</v>
      </c>
      <c r="E34" s="127">
        <f>SUM(C34:D34)</f>
        <v>107966</v>
      </c>
      <c r="F34" s="127">
        <f>F32+F33</f>
        <v>830</v>
      </c>
      <c r="G34" s="127">
        <f t="shared" ref="G34:J34" si="11">G32+G33</f>
        <v>3365</v>
      </c>
      <c r="H34" s="127">
        <f t="shared" si="11"/>
        <v>39167</v>
      </c>
      <c r="I34" s="127">
        <f t="shared" si="11"/>
        <v>72994</v>
      </c>
      <c r="J34" s="1516">
        <f t="shared" si="11"/>
        <v>112161</v>
      </c>
      <c r="K34" s="1585" t="s">
        <v>69</v>
      </c>
      <c r="L34" s="127">
        <f>L24+L33</f>
        <v>138898</v>
      </c>
      <c r="M34" s="1510">
        <f>M24+M33</f>
        <v>285019</v>
      </c>
      <c r="N34" s="1510">
        <f>N24+N33</f>
        <v>423917</v>
      </c>
      <c r="O34" s="1510">
        <f t="shared" ref="O34:S34" si="12">O24+O33</f>
        <v>830</v>
      </c>
      <c r="P34" s="1510">
        <f t="shared" si="12"/>
        <v>3365</v>
      </c>
      <c r="Q34" s="1510">
        <f t="shared" si="12"/>
        <v>139728</v>
      </c>
      <c r="R34" s="1510">
        <f t="shared" si="12"/>
        <v>288384</v>
      </c>
      <c r="S34" s="1529">
        <f t="shared" si="12"/>
        <v>428112</v>
      </c>
    </row>
    <row r="35" spans="1:19" x14ac:dyDescent="0.2">
      <c r="A35" s="1544">
        <f t="shared" si="0"/>
        <v>25</v>
      </c>
      <c r="B35" s="1595"/>
      <c r="C35" s="125"/>
      <c r="D35" s="125"/>
      <c r="E35" s="125"/>
      <c r="F35" s="125"/>
      <c r="G35" s="125"/>
      <c r="H35" s="125"/>
      <c r="I35" s="125"/>
      <c r="J35" s="1552"/>
      <c r="K35" s="1582"/>
      <c r="L35" s="125"/>
      <c r="M35" s="1506"/>
      <c r="N35" s="1506"/>
      <c r="O35" s="209"/>
      <c r="P35" s="209"/>
      <c r="Q35" s="209"/>
      <c r="R35" s="209"/>
      <c r="S35" s="1554"/>
    </row>
    <row r="36" spans="1:19" x14ac:dyDescent="0.2">
      <c r="A36" s="1544">
        <f t="shared" si="0"/>
        <v>26</v>
      </c>
      <c r="B36" s="1595"/>
      <c r="C36" s="125"/>
      <c r="D36" s="125"/>
      <c r="E36" s="125"/>
      <c r="F36" s="125"/>
      <c r="G36" s="125"/>
      <c r="H36" s="125"/>
      <c r="I36" s="125"/>
      <c r="J36" s="1552"/>
      <c r="K36" s="1583"/>
      <c r="L36" s="1541"/>
      <c r="M36" s="1509"/>
      <c r="N36" s="1509"/>
      <c r="O36" s="209"/>
      <c r="P36" s="209"/>
      <c r="Q36" s="209"/>
      <c r="R36" s="209"/>
      <c r="S36" s="1554"/>
    </row>
    <row r="37" spans="1:19" s="11" customFormat="1" x14ac:dyDescent="0.2">
      <c r="A37" s="1544">
        <f t="shared" si="0"/>
        <v>27</v>
      </c>
      <c r="B37" s="1595"/>
      <c r="C37" s="125"/>
      <c r="D37" s="125"/>
      <c r="E37" s="125"/>
      <c r="F37" s="125"/>
      <c r="G37" s="125"/>
      <c r="H37" s="125"/>
      <c r="I37" s="125"/>
      <c r="J37" s="1552"/>
      <c r="K37" s="1582"/>
      <c r="L37" s="125"/>
      <c r="M37" s="1506"/>
      <c r="N37" s="1506"/>
      <c r="O37" s="1512"/>
      <c r="P37" s="1512"/>
      <c r="Q37" s="1512"/>
      <c r="R37" s="1512"/>
      <c r="S37" s="1556"/>
    </row>
    <row r="38" spans="1:19" s="11" customFormat="1" x14ac:dyDescent="0.2">
      <c r="A38" s="1544">
        <f t="shared" si="0"/>
        <v>28</v>
      </c>
      <c r="B38" s="1580" t="s">
        <v>53</v>
      </c>
      <c r="C38" s="1499"/>
      <c r="D38" s="1499"/>
      <c r="E38" s="1499"/>
      <c r="F38" s="1499"/>
      <c r="G38" s="1499"/>
      <c r="H38" s="1499"/>
      <c r="I38" s="1499"/>
      <c r="J38" s="374"/>
      <c r="K38" s="1580" t="s">
        <v>33</v>
      </c>
      <c r="L38" s="127"/>
      <c r="M38" s="1510"/>
      <c r="N38" s="1510"/>
      <c r="O38" s="1512"/>
      <c r="P38" s="1512"/>
      <c r="Q38" s="1512"/>
      <c r="R38" s="1512"/>
      <c r="S38" s="1556"/>
    </row>
    <row r="39" spans="1:19" s="11" customFormat="1" x14ac:dyDescent="0.2">
      <c r="A39" s="1544">
        <f t="shared" si="0"/>
        <v>29</v>
      </c>
      <c r="B39" s="1586" t="s">
        <v>710</v>
      </c>
      <c r="C39" s="1499"/>
      <c r="D39" s="1499"/>
      <c r="E39" s="1499"/>
      <c r="F39" s="1499"/>
      <c r="G39" s="1499"/>
      <c r="H39" s="1499"/>
      <c r="I39" s="1499"/>
      <c r="J39" s="374"/>
      <c r="K39" s="1586" t="s">
        <v>4</v>
      </c>
      <c r="L39" s="127"/>
      <c r="M39" s="1512"/>
      <c r="N39" s="1512"/>
      <c r="O39" s="1512"/>
      <c r="P39" s="1512"/>
      <c r="Q39" s="1512"/>
      <c r="R39" s="1512"/>
      <c r="S39" s="1556"/>
    </row>
    <row r="40" spans="1:19" s="11" customFormat="1" x14ac:dyDescent="0.2">
      <c r="A40" s="1544">
        <f t="shared" si="0"/>
        <v>30</v>
      </c>
      <c r="B40" s="1587" t="s">
        <v>997</v>
      </c>
      <c r="C40" s="1499"/>
      <c r="D40" s="1499"/>
      <c r="E40" s="1499"/>
      <c r="F40" s="1499"/>
      <c r="G40" s="1499"/>
      <c r="H40" s="1499"/>
      <c r="I40" s="1499"/>
      <c r="J40" s="374"/>
      <c r="K40" s="1587" t="s">
        <v>3</v>
      </c>
      <c r="L40" s="127"/>
      <c r="M40" s="1510"/>
      <c r="N40" s="1510"/>
      <c r="O40" s="1512"/>
      <c r="P40" s="1512"/>
      <c r="Q40" s="1512"/>
      <c r="R40" s="1512"/>
      <c r="S40" s="1556"/>
    </row>
    <row r="41" spans="1:19" x14ac:dyDescent="0.2">
      <c r="A41" s="1544">
        <f t="shared" si="0"/>
        <v>31</v>
      </c>
      <c r="B41" s="107" t="s">
        <v>712</v>
      </c>
      <c r="C41" s="1543"/>
      <c r="D41" s="1543"/>
      <c r="E41" s="1543"/>
      <c r="F41" s="1543"/>
      <c r="G41" s="1543"/>
      <c r="H41" s="1543"/>
      <c r="I41" s="1543"/>
      <c r="J41" s="1553"/>
      <c r="K41" s="107" t="s">
        <v>5</v>
      </c>
      <c r="L41" s="127"/>
      <c r="M41" s="1510"/>
      <c r="N41" s="1510"/>
      <c r="O41" s="209"/>
      <c r="P41" s="209"/>
      <c r="Q41" s="209"/>
      <c r="R41" s="209"/>
      <c r="S41" s="1554"/>
    </row>
    <row r="42" spans="1:19" x14ac:dyDescent="0.2">
      <c r="A42" s="1544">
        <f t="shared" si="0"/>
        <v>32</v>
      </c>
      <c r="B42" s="107" t="s">
        <v>215</v>
      </c>
      <c r="C42" s="96"/>
      <c r="D42" s="96"/>
      <c r="E42" s="96"/>
      <c r="F42" s="96"/>
      <c r="G42" s="96"/>
      <c r="H42" s="96"/>
      <c r="I42" s="96"/>
      <c r="J42" s="336"/>
      <c r="K42" s="107" t="s">
        <v>6</v>
      </c>
      <c r="L42" s="127"/>
      <c r="M42" s="1510"/>
      <c r="N42" s="1510"/>
      <c r="O42" s="209"/>
      <c r="P42" s="209"/>
      <c r="Q42" s="209"/>
      <c r="R42" s="209"/>
      <c r="S42" s="1554"/>
    </row>
    <row r="43" spans="1:19" x14ac:dyDescent="0.2">
      <c r="A43" s="1544">
        <f t="shared" si="0"/>
        <v>33</v>
      </c>
      <c r="B43" s="1581" t="s">
        <v>216</v>
      </c>
      <c r="C43" s="96">
        <v>5752</v>
      </c>
      <c r="D43" s="96"/>
      <c r="E43" s="96">
        <f>C43+D43</f>
        <v>5752</v>
      </c>
      <c r="F43" s="96"/>
      <c r="G43" s="96"/>
      <c r="H43" s="96">
        <f>C43</f>
        <v>5752</v>
      </c>
      <c r="I43" s="96"/>
      <c r="J43" s="336">
        <f>H43</f>
        <v>5752</v>
      </c>
      <c r="K43" s="107" t="s">
        <v>7</v>
      </c>
      <c r="L43" s="127"/>
      <c r="M43" s="1510"/>
      <c r="N43" s="1510"/>
      <c r="O43" s="209"/>
      <c r="P43" s="209"/>
      <c r="Q43" s="209"/>
      <c r="R43" s="209"/>
      <c r="S43" s="1554"/>
    </row>
    <row r="44" spans="1:19" x14ac:dyDescent="0.2">
      <c r="A44" s="1544">
        <f t="shared" si="0"/>
        <v>34</v>
      </c>
      <c r="B44" s="1581" t="s">
        <v>993</v>
      </c>
      <c r="C44" s="96"/>
      <c r="D44" s="96"/>
      <c r="E44" s="96"/>
      <c r="F44" s="96"/>
      <c r="G44" s="96"/>
      <c r="H44" s="96"/>
      <c r="I44" s="96"/>
      <c r="J44" s="336"/>
      <c r="K44" s="107"/>
      <c r="L44" s="127"/>
      <c r="M44" s="1510"/>
      <c r="N44" s="1510"/>
      <c r="O44" s="209"/>
      <c r="P44" s="209"/>
      <c r="Q44" s="209"/>
      <c r="R44" s="209"/>
      <c r="S44" s="1554"/>
    </row>
    <row r="45" spans="1:19" x14ac:dyDescent="0.2">
      <c r="A45" s="1544">
        <f t="shared" si="0"/>
        <v>35</v>
      </c>
      <c r="B45" s="107" t="s">
        <v>713</v>
      </c>
      <c r="C45" s="96"/>
      <c r="D45" s="96"/>
      <c r="E45" s="96"/>
      <c r="F45" s="96"/>
      <c r="G45" s="96"/>
      <c r="H45" s="96"/>
      <c r="I45" s="96"/>
      <c r="J45" s="336"/>
      <c r="K45" s="107" t="s">
        <v>8</v>
      </c>
      <c r="L45" s="127"/>
      <c r="M45" s="1510"/>
      <c r="N45" s="1506"/>
      <c r="O45" s="209"/>
      <c r="P45" s="209"/>
      <c r="Q45" s="209"/>
      <c r="R45" s="209"/>
      <c r="S45" s="1554"/>
    </row>
    <row r="46" spans="1:19" x14ac:dyDescent="0.2">
      <c r="A46" s="1544">
        <f t="shared" si="0"/>
        <v>36</v>
      </c>
      <c r="B46" s="107" t="s">
        <v>714</v>
      </c>
      <c r="C46" s="1499"/>
      <c r="D46" s="1499"/>
      <c r="E46" s="1499"/>
      <c r="F46" s="1499"/>
      <c r="G46" s="1499"/>
      <c r="H46" s="1499"/>
      <c r="I46" s="1499"/>
      <c r="J46" s="374"/>
      <c r="K46" s="107" t="s">
        <v>9</v>
      </c>
      <c r="L46" s="127"/>
      <c r="M46" s="1510"/>
      <c r="N46" s="1506"/>
      <c r="O46" s="209"/>
      <c r="P46" s="209"/>
      <c r="Q46" s="209"/>
      <c r="R46" s="209"/>
      <c r="S46" s="1554"/>
    </row>
    <row r="47" spans="1:19" x14ac:dyDescent="0.2">
      <c r="A47" s="1544">
        <f t="shared" si="0"/>
        <v>37</v>
      </c>
      <c r="B47" s="107" t="s">
        <v>219</v>
      </c>
      <c r="C47" s="96"/>
      <c r="D47" s="96"/>
      <c r="E47" s="96"/>
      <c r="F47" s="96"/>
      <c r="G47" s="96"/>
      <c r="H47" s="96"/>
      <c r="I47" s="96"/>
      <c r="J47" s="336"/>
      <c r="K47" s="107" t="s">
        <v>10</v>
      </c>
      <c r="L47" s="125"/>
      <c r="M47" s="1506"/>
      <c r="N47" s="1506"/>
      <c r="O47" s="209"/>
      <c r="P47" s="209"/>
      <c r="Q47" s="209"/>
      <c r="R47" s="209"/>
      <c r="S47" s="1554"/>
    </row>
    <row r="48" spans="1:19" x14ac:dyDescent="0.2">
      <c r="A48" s="1544">
        <f t="shared" si="0"/>
        <v>38</v>
      </c>
      <c r="B48" s="1581" t="s">
        <v>220</v>
      </c>
      <c r="C48" s="203">
        <f>L24-(C32+C43)</f>
        <v>93809</v>
      </c>
      <c r="D48" s="203">
        <f>M24-(D32+D43)</f>
        <v>214007</v>
      </c>
      <c r="E48" s="203">
        <f>N24-(E32+E43)</f>
        <v>307816</v>
      </c>
      <c r="F48" s="203">
        <f t="shared" ref="F48:J48" si="13">O24-(F32+F43)</f>
        <v>-830</v>
      </c>
      <c r="G48" s="203">
        <f t="shared" si="13"/>
        <v>0</v>
      </c>
      <c r="H48" s="203">
        <f t="shared" si="13"/>
        <v>92979</v>
      </c>
      <c r="I48" s="203">
        <f t="shared" si="13"/>
        <v>214007</v>
      </c>
      <c r="J48" s="349">
        <f t="shared" si="13"/>
        <v>306986</v>
      </c>
      <c r="K48" s="107" t="s">
        <v>11</v>
      </c>
      <c r="L48" s="125"/>
      <c r="M48" s="1506"/>
      <c r="N48" s="1506"/>
      <c r="O48" s="209"/>
      <c r="P48" s="209"/>
      <c r="Q48" s="209"/>
      <c r="R48" s="209"/>
      <c r="S48" s="1554"/>
    </row>
    <row r="49" spans="1:19" x14ac:dyDescent="0.2">
      <c r="A49" s="1544">
        <f t="shared" si="0"/>
        <v>39</v>
      </c>
      <c r="B49" s="1581" t="s">
        <v>221</v>
      </c>
      <c r="C49" s="96">
        <f>L33-C33</f>
        <v>1000</v>
      </c>
      <c r="D49" s="96">
        <f>M33-D33</f>
        <v>1383</v>
      </c>
      <c r="E49" s="96">
        <f>N33-E33</f>
        <v>2383</v>
      </c>
      <c r="F49" s="96">
        <f t="shared" ref="F49:J49" si="14">O33-F33</f>
        <v>830</v>
      </c>
      <c r="G49" s="96">
        <f t="shared" si="14"/>
        <v>0</v>
      </c>
      <c r="H49" s="96">
        <f t="shared" si="14"/>
        <v>1830</v>
      </c>
      <c r="I49" s="96">
        <f t="shared" si="14"/>
        <v>1383</v>
      </c>
      <c r="J49" s="336">
        <f t="shared" si="14"/>
        <v>3213</v>
      </c>
      <c r="K49" s="107" t="s">
        <v>12</v>
      </c>
      <c r="L49" s="125"/>
      <c r="M49" s="1506"/>
      <c r="N49" s="1506"/>
      <c r="O49" s="209"/>
      <c r="P49" s="209"/>
      <c r="Q49" s="209"/>
      <c r="R49" s="209"/>
      <c r="S49" s="1554"/>
    </row>
    <row r="50" spans="1:19" x14ac:dyDescent="0.2">
      <c r="A50" s="1544">
        <f t="shared" si="0"/>
        <v>40</v>
      </c>
      <c r="B50" s="107" t="s">
        <v>1</v>
      </c>
      <c r="C50" s="96"/>
      <c r="D50" s="96"/>
      <c r="E50" s="96"/>
      <c r="F50" s="96"/>
      <c r="G50" s="96"/>
      <c r="H50" s="96"/>
      <c r="I50" s="96"/>
      <c r="J50" s="336"/>
      <c r="K50" s="107" t="s">
        <v>13</v>
      </c>
      <c r="L50" s="125"/>
      <c r="M50" s="1506"/>
      <c r="N50" s="1506"/>
      <c r="O50" s="209"/>
      <c r="P50" s="209"/>
      <c r="Q50" s="209"/>
      <c r="R50" s="209"/>
      <c r="S50" s="1554"/>
    </row>
    <row r="51" spans="1:19" x14ac:dyDescent="0.2">
      <c r="A51" s="1544">
        <f t="shared" si="0"/>
        <v>41</v>
      </c>
      <c r="B51" s="107"/>
      <c r="C51" s="96"/>
      <c r="D51" s="96"/>
      <c r="E51" s="96"/>
      <c r="F51" s="96"/>
      <c r="G51" s="96"/>
      <c r="H51" s="96"/>
      <c r="I51" s="96"/>
      <c r="J51" s="336"/>
      <c r="K51" s="107" t="s">
        <v>14</v>
      </c>
      <c r="L51" s="125"/>
      <c r="M51" s="1506"/>
      <c r="N51" s="1506"/>
      <c r="O51" s="209"/>
      <c r="P51" s="209"/>
      <c r="Q51" s="209"/>
      <c r="R51" s="209"/>
      <c r="S51" s="1554"/>
    </row>
    <row r="52" spans="1:19" x14ac:dyDescent="0.2">
      <c r="A52" s="1544">
        <f t="shared" si="0"/>
        <v>42</v>
      </c>
      <c r="B52" s="107"/>
      <c r="C52" s="96"/>
      <c r="D52" s="96"/>
      <c r="E52" s="96"/>
      <c r="F52" s="96"/>
      <c r="G52" s="96"/>
      <c r="H52" s="96"/>
      <c r="I52" s="96"/>
      <c r="J52" s="336"/>
      <c r="K52" s="107" t="s">
        <v>15</v>
      </c>
      <c r="L52" s="125"/>
      <c r="M52" s="1506"/>
      <c r="N52" s="1506"/>
      <c r="O52" s="209"/>
      <c r="P52" s="209"/>
      <c r="Q52" s="209"/>
      <c r="R52" s="209"/>
      <c r="S52" s="1554"/>
    </row>
    <row r="53" spans="1:19" ht="12" thickBot="1" x14ac:dyDescent="0.25">
      <c r="A53" s="1544">
        <f t="shared" si="0"/>
        <v>43</v>
      </c>
      <c r="B53" s="1599" t="s">
        <v>463</v>
      </c>
      <c r="C53" s="1499">
        <f>SUM(C39:C51)</f>
        <v>100561</v>
      </c>
      <c r="D53" s="1499">
        <f>SUM(D39:D51)</f>
        <v>215390</v>
      </c>
      <c r="E53" s="1499">
        <f>SUM(E39:E51)</f>
        <v>315951</v>
      </c>
      <c r="F53" s="1499">
        <f t="shared" ref="F53:J53" si="15">SUM(F39:F51)</f>
        <v>0</v>
      </c>
      <c r="G53" s="1499">
        <f t="shared" si="15"/>
        <v>0</v>
      </c>
      <c r="H53" s="1499">
        <f t="shared" si="15"/>
        <v>100561</v>
      </c>
      <c r="I53" s="1499">
        <f t="shared" si="15"/>
        <v>215390</v>
      </c>
      <c r="J53" s="374">
        <f t="shared" si="15"/>
        <v>315951</v>
      </c>
      <c r="K53" s="1580" t="s">
        <v>456</v>
      </c>
      <c r="L53" s="127">
        <f>SUM(L39:L52)</f>
        <v>0</v>
      </c>
      <c r="M53" s="1510">
        <f>SUM(M39:M52)</f>
        <v>0</v>
      </c>
      <c r="N53" s="1510">
        <f>SUM(N39:N52)</f>
        <v>0</v>
      </c>
      <c r="O53" s="1510">
        <f t="shared" ref="O53:S53" si="16">SUM(O39:O52)</f>
        <v>0</v>
      </c>
      <c r="P53" s="1510">
        <f t="shared" si="16"/>
        <v>0</v>
      </c>
      <c r="Q53" s="1510">
        <f t="shared" si="16"/>
        <v>0</v>
      </c>
      <c r="R53" s="1510">
        <f t="shared" si="16"/>
        <v>0</v>
      </c>
      <c r="S53" s="1529">
        <f t="shared" si="16"/>
        <v>0</v>
      </c>
    </row>
    <row r="54" spans="1:19" ht="12" thickBot="1" x14ac:dyDescent="0.25">
      <c r="A54" s="710">
        <f t="shared" si="0"/>
        <v>44</v>
      </c>
      <c r="B54" s="709" t="s">
        <v>458</v>
      </c>
      <c r="C54" s="700">
        <f>C34+C53</f>
        <v>138898</v>
      </c>
      <c r="D54" s="700">
        <f>D34+D53</f>
        <v>285019</v>
      </c>
      <c r="E54" s="700">
        <f>E34+E53</f>
        <v>423917</v>
      </c>
      <c r="F54" s="700">
        <f t="shared" ref="F54:J54" si="17">F34+F53</f>
        <v>830</v>
      </c>
      <c r="G54" s="700">
        <f t="shared" si="17"/>
        <v>3365</v>
      </c>
      <c r="H54" s="700">
        <f t="shared" si="17"/>
        <v>139728</v>
      </c>
      <c r="I54" s="700">
        <f t="shared" si="17"/>
        <v>288384</v>
      </c>
      <c r="J54" s="700">
        <f t="shared" si="17"/>
        <v>428112</v>
      </c>
      <c r="K54" s="709" t="s">
        <v>457</v>
      </c>
      <c r="L54" s="700">
        <f>L34+L53</f>
        <v>138898</v>
      </c>
      <c r="M54" s="708">
        <f>M34+M53</f>
        <v>285019</v>
      </c>
      <c r="N54" s="708">
        <f>N34+N53</f>
        <v>423917</v>
      </c>
      <c r="O54" s="708">
        <f t="shared" ref="O54:S54" si="18">O34+O53</f>
        <v>830</v>
      </c>
      <c r="P54" s="708">
        <f t="shared" si="18"/>
        <v>3365</v>
      </c>
      <c r="Q54" s="708">
        <f t="shared" si="18"/>
        <v>139728</v>
      </c>
      <c r="R54" s="708">
        <f t="shared" si="18"/>
        <v>288384</v>
      </c>
      <c r="S54" s="1561">
        <f t="shared" si="18"/>
        <v>428112</v>
      </c>
    </row>
    <row r="55" spans="1:19" x14ac:dyDescent="0.2">
      <c r="B55" s="131"/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4"/>
      <c r="N55" s="134"/>
      <c r="O55" s="10"/>
    </row>
    <row r="56" spans="1:19" x14ac:dyDescent="0.2">
      <c r="O56" s="10"/>
    </row>
  </sheetData>
  <sheetProtection selectLockedCells="1" selectUnlockedCells="1"/>
  <mergeCells count="16">
    <mergeCell ref="A1:S1"/>
    <mergeCell ref="B7:S7"/>
    <mergeCell ref="O9:P9"/>
    <mergeCell ref="Q9:S9"/>
    <mergeCell ref="L8:S8"/>
    <mergeCell ref="A4:S4"/>
    <mergeCell ref="A5:S5"/>
    <mergeCell ref="A6:S6"/>
    <mergeCell ref="A8:A10"/>
    <mergeCell ref="B8:B9"/>
    <mergeCell ref="K8:K9"/>
    <mergeCell ref="C9:E9"/>
    <mergeCell ref="L9:N9"/>
    <mergeCell ref="F9:G9"/>
    <mergeCell ref="H9:J9"/>
    <mergeCell ref="C8:J8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92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J47" sqref="J47"/>
    </sheetView>
  </sheetViews>
  <sheetFormatPr defaultColWidth="9.140625" defaultRowHeight="15.75" x14ac:dyDescent="0.25"/>
  <cols>
    <col min="1" max="1" width="3.85546875" style="16" customWidth="1"/>
    <col min="2" max="2" width="42.5703125" style="16" customWidth="1"/>
    <col min="3" max="4" width="9.7109375" style="280" customWidth="1"/>
    <col min="5" max="5" width="10.42578125" style="280" bestFit="1" customWidth="1"/>
    <col min="6" max="9" width="9.7109375" style="280" customWidth="1"/>
    <col min="10" max="10" width="10.140625" style="280" customWidth="1"/>
    <col min="11" max="14" width="9.7109375" style="280" customWidth="1"/>
    <col min="15" max="15" width="11.5703125" style="280" customWidth="1"/>
    <col min="16" max="16" width="10.140625" style="16" customWidth="1"/>
    <col min="17" max="16384" width="9.140625" style="16"/>
  </cols>
  <sheetData>
    <row r="1" spans="1:33" ht="12.75" customHeight="1" x14ac:dyDescent="0.25">
      <c r="B1" s="1441" t="s">
        <v>1196</v>
      </c>
      <c r="C1" s="1441"/>
      <c r="D1" s="1441"/>
      <c r="E1" s="1441"/>
      <c r="F1" s="1441"/>
      <c r="G1" s="1441"/>
      <c r="H1" s="1441"/>
      <c r="I1" s="1441"/>
      <c r="J1" s="1441"/>
      <c r="K1" s="1441"/>
      <c r="L1" s="1441"/>
      <c r="M1" s="1441"/>
      <c r="N1" s="1441"/>
      <c r="O1" s="1441"/>
      <c r="P1" s="636"/>
      <c r="Q1" s="636"/>
      <c r="R1" s="636"/>
      <c r="S1" s="636"/>
      <c r="T1" s="636"/>
      <c r="U1" s="636"/>
      <c r="V1" s="636"/>
      <c r="W1" s="636"/>
      <c r="X1" s="636"/>
      <c r="Y1" s="636"/>
      <c r="Z1" s="636"/>
      <c r="AA1" s="636"/>
      <c r="AB1" s="636"/>
      <c r="AC1" s="636"/>
      <c r="AD1" s="636"/>
      <c r="AE1" s="636"/>
      <c r="AF1" s="636"/>
      <c r="AG1" s="636"/>
    </row>
    <row r="2" spans="1:33" ht="14.1" customHeight="1" x14ac:dyDescent="0.25">
      <c r="A2" s="29"/>
      <c r="B2" s="1439" t="s">
        <v>87</v>
      </c>
      <c r="C2" s="1439"/>
      <c r="D2" s="1439"/>
      <c r="E2" s="1439"/>
      <c r="F2" s="1439"/>
      <c r="G2" s="1439"/>
      <c r="H2" s="1439"/>
      <c r="I2" s="1439"/>
      <c r="J2" s="1439"/>
      <c r="K2" s="1439"/>
      <c r="L2" s="1439"/>
      <c r="M2" s="1439"/>
      <c r="N2" s="1439"/>
      <c r="O2" s="1439"/>
    </row>
    <row r="3" spans="1:33" ht="14.1" customHeight="1" x14ac:dyDescent="0.25">
      <c r="A3" s="29"/>
      <c r="B3" s="1439" t="s">
        <v>1138</v>
      </c>
      <c r="C3" s="1439"/>
      <c r="D3" s="1439"/>
      <c r="E3" s="1439"/>
      <c r="F3" s="1439"/>
      <c r="G3" s="1439"/>
      <c r="H3" s="1439"/>
      <c r="I3" s="1439"/>
      <c r="J3" s="1439"/>
      <c r="K3" s="1439"/>
      <c r="L3" s="1439"/>
      <c r="M3" s="1439"/>
      <c r="N3" s="1439"/>
      <c r="O3" s="1439"/>
    </row>
    <row r="4" spans="1:33" ht="14.1" customHeight="1" x14ac:dyDescent="0.25">
      <c r="A4" s="29"/>
      <c r="B4" s="574"/>
      <c r="C4" s="575"/>
      <c r="D4" s="575"/>
      <c r="E4" s="575"/>
      <c r="F4" s="575"/>
      <c r="G4" s="575"/>
      <c r="H4" s="575"/>
      <c r="I4" s="575"/>
      <c r="J4" s="575"/>
      <c r="K4" s="575"/>
      <c r="L4" s="575"/>
      <c r="M4" s="575"/>
      <c r="N4" s="575"/>
      <c r="O4" s="575"/>
    </row>
    <row r="5" spans="1:33" ht="15" customHeight="1" x14ac:dyDescent="0.25">
      <c r="A5" s="1440"/>
      <c r="B5" s="576" t="s">
        <v>57</v>
      </c>
      <c r="C5" s="577" t="s">
        <v>58</v>
      </c>
      <c r="D5" s="577" t="s">
        <v>59</v>
      </c>
      <c r="E5" s="577" t="s">
        <v>60</v>
      </c>
      <c r="F5" s="577" t="s">
        <v>485</v>
      </c>
      <c r="G5" s="577" t="s">
        <v>486</v>
      </c>
      <c r="H5" s="577" t="s">
        <v>487</v>
      </c>
      <c r="I5" s="577" t="s">
        <v>615</v>
      </c>
      <c r="J5" s="577" t="s">
        <v>626</v>
      </c>
      <c r="K5" s="577" t="s">
        <v>627</v>
      </c>
      <c r="L5" s="577" t="s">
        <v>628</v>
      </c>
      <c r="M5" s="577" t="s">
        <v>629</v>
      </c>
      <c r="N5" s="577" t="s">
        <v>630</v>
      </c>
      <c r="O5" s="577" t="s">
        <v>631</v>
      </c>
    </row>
    <row r="6" spans="1:33" ht="12.75" customHeight="1" x14ac:dyDescent="0.25">
      <c r="A6" s="1440"/>
      <c r="B6" s="573" t="s">
        <v>86</v>
      </c>
      <c r="C6" s="578" t="s">
        <v>632</v>
      </c>
      <c r="D6" s="578" t="s">
        <v>633</v>
      </c>
      <c r="E6" s="578" t="s">
        <v>634</v>
      </c>
      <c r="F6" s="578" t="s">
        <v>635</v>
      </c>
      <c r="G6" s="578" t="s">
        <v>636</v>
      </c>
      <c r="H6" s="578" t="s">
        <v>637</v>
      </c>
      <c r="I6" s="578" t="s">
        <v>638</v>
      </c>
      <c r="J6" s="578" t="s">
        <v>639</v>
      </c>
      <c r="K6" s="578" t="s">
        <v>640</v>
      </c>
      <c r="L6" s="578" t="s">
        <v>641</v>
      </c>
      <c r="M6" s="578" t="s">
        <v>642</v>
      </c>
      <c r="N6" s="578" t="s">
        <v>643</v>
      </c>
      <c r="O6" s="578" t="s">
        <v>550</v>
      </c>
    </row>
    <row r="7" spans="1:33" s="29" customFormat="1" ht="12.75" customHeight="1" x14ac:dyDescent="0.25">
      <c r="A7" s="21" t="s">
        <v>494</v>
      </c>
      <c r="B7" s="31" t="s">
        <v>672</v>
      </c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</row>
    <row r="8" spans="1:33" s="29" customFormat="1" ht="15.75" customHeight="1" x14ac:dyDescent="0.25">
      <c r="A8" s="21" t="s">
        <v>502</v>
      </c>
      <c r="B8" s="29" t="s">
        <v>666</v>
      </c>
      <c r="C8" s="185">
        <f>O8/12</f>
        <v>69023.916666666672</v>
      </c>
      <c r="D8" s="185">
        <v>65801</v>
      </c>
      <c r="E8" s="185">
        <v>65796</v>
      </c>
      <c r="F8" s="185">
        <v>65796</v>
      </c>
      <c r="G8" s="185">
        <v>65796</v>
      </c>
      <c r="H8" s="185">
        <v>65796</v>
      </c>
      <c r="I8" s="185">
        <v>65796</v>
      </c>
      <c r="J8" s="185">
        <v>65796</v>
      </c>
      <c r="K8" s="185">
        <v>65796</v>
      </c>
      <c r="L8" s="185">
        <v>65796</v>
      </c>
      <c r="M8" s="185">
        <v>65796</v>
      </c>
      <c r="N8" s="185">
        <v>65796</v>
      </c>
      <c r="O8" s="185">
        <f>Össz.önkor.mérleg.!E11</f>
        <v>828287</v>
      </c>
      <c r="P8" s="32"/>
    </row>
    <row r="9" spans="1:33" s="29" customFormat="1" ht="16.5" customHeight="1" x14ac:dyDescent="0.25">
      <c r="A9" s="21" t="s">
        <v>503</v>
      </c>
      <c r="B9" s="29" t="s">
        <v>667</v>
      </c>
      <c r="C9" s="185">
        <f>O9/12</f>
        <v>3334.5833333333335</v>
      </c>
      <c r="D9" s="185">
        <v>2629</v>
      </c>
      <c r="E9" s="185">
        <v>2629</v>
      </c>
      <c r="F9" s="185">
        <v>2629</v>
      </c>
      <c r="G9" s="185">
        <v>2629</v>
      </c>
      <c r="H9" s="185">
        <v>2629</v>
      </c>
      <c r="I9" s="185">
        <v>2629</v>
      </c>
      <c r="J9" s="185">
        <v>2629</v>
      </c>
      <c r="K9" s="185">
        <v>2629</v>
      </c>
      <c r="L9" s="185">
        <v>2629</v>
      </c>
      <c r="M9" s="185">
        <v>2629</v>
      </c>
      <c r="N9" s="185">
        <v>2629</v>
      </c>
      <c r="O9" s="185">
        <f>Össz.önkor.mérleg.!E13</f>
        <v>40015</v>
      </c>
      <c r="P9" s="32"/>
    </row>
    <row r="10" spans="1:33" s="29" customFormat="1" ht="15.75" customHeight="1" x14ac:dyDescent="0.25">
      <c r="A10" s="21" t="s">
        <v>504</v>
      </c>
      <c r="B10" s="29" t="s">
        <v>468</v>
      </c>
      <c r="C10" s="185">
        <f>O10/12</f>
        <v>102950.33333333333</v>
      </c>
      <c r="D10" s="185">
        <v>102947</v>
      </c>
      <c r="E10" s="185">
        <v>102943</v>
      </c>
      <c r="F10" s="185">
        <v>102943</v>
      </c>
      <c r="G10" s="185">
        <v>102943</v>
      </c>
      <c r="H10" s="185">
        <v>102943</v>
      </c>
      <c r="I10" s="185">
        <v>102943</v>
      </c>
      <c r="J10" s="185">
        <v>102943</v>
      </c>
      <c r="K10" s="185">
        <v>102943</v>
      </c>
      <c r="L10" s="185">
        <v>102943</v>
      </c>
      <c r="M10" s="185">
        <v>102943</v>
      </c>
      <c r="N10" s="185">
        <v>102943</v>
      </c>
      <c r="O10" s="185">
        <f>Össz.önkor.mérleg.!E17</f>
        <v>1235404</v>
      </c>
      <c r="P10" s="32"/>
    </row>
    <row r="11" spans="1:33" s="30" customFormat="1" ht="18" customHeight="1" x14ac:dyDescent="0.25">
      <c r="A11" s="21" t="s">
        <v>505</v>
      </c>
      <c r="B11" s="30" t="s">
        <v>668</v>
      </c>
      <c r="C11" s="185">
        <f>O11/12</f>
        <v>34660.583333333336</v>
      </c>
      <c r="D11" s="185">
        <v>29601</v>
      </c>
      <c r="E11" s="185">
        <v>29605</v>
      </c>
      <c r="F11" s="185">
        <v>29605</v>
      </c>
      <c r="G11" s="185">
        <v>29605</v>
      </c>
      <c r="H11" s="185">
        <v>29605</v>
      </c>
      <c r="I11" s="185">
        <v>29605</v>
      </c>
      <c r="J11" s="185">
        <v>29605</v>
      </c>
      <c r="K11" s="185">
        <v>29605</v>
      </c>
      <c r="L11" s="185">
        <v>29605</v>
      </c>
      <c r="M11" s="185">
        <v>29605</v>
      </c>
      <c r="N11" s="185">
        <v>29605</v>
      </c>
      <c r="O11" s="185">
        <f>Össz.önkor.mérleg.!E20</f>
        <v>415927</v>
      </c>
      <c r="P11" s="32"/>
    </row>
    <row r="12" spans="1:33" s="29" customFormat="1" ht="13.5" customHeight="1" x14ac:dyDescent="0.25">
      <c r="A12" s="21" t="s">
        <v>506</v>
      </c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>
        <f t="shared" ref="O12:O18" si="0">SUM(C12:N12)</f>
        <v>0</v>
      </c>
      <c r="P12" s="32"/>
    </row>
    <row r="13" spans="1:33" s="29" customFormat="1" ht="15" customHeight="1" x14ac:dyDescent="0.25">
      <c r="A13" s="21" t="s">
        <v>507</v>
      </c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>
        <f t="shared" si="0"/>
        <v>0</v>
      </c>
      <c r="P13" s="32"/>
    </row>
    <row r="14" spans="1:33" s="31" customFormat="1" ht="15.75" customHeight="1" x14ac:dyDescent="0.25">
      <c r="A14" s="21" t="s">
        <v>508</v>
      </c>
      <c r="B14" s="579" t="s">
        <v>644</v>
      </c>
      <c r="C14" s="580">
        <f>SUM(C8:C13)</f>
        <v>209969.41666666666</v>
      </c>
      <c r="D14" s="580">
        <f>SUM(D8:D12)</f>
        <v>200978</v>
      </c>
      <c r="E14" s="580">
        <f>SUM(E8:E12)</f>
        <v>200973</v>
      </c>
      <c r="F14" s="580">
        <f>SUM(F8:F13)</f>
        <v>200973</v>
      </c>
      <c r="G14" s="580">
        <f>SUM(G8:G13)</f>
        <v>200973</v>
      </c>
      <c r="H14" s="580">
        <f t="shared" ref="H14:N14" si="1">SUM(H8:H12)</f>
        <v>200973</v>
      </c>
      <c r="I14" s="580">
        <f t="shared" si="1"/>
        <v>200973</v>
      </c>
      <c r="J14" s="580">
        <f t="shared" si="1"/>
        <v>200973</v>
      </c>
      <c r="K14" s="580">
        <f t="shared" si="1"/>
        <v>200973</v>
      </c>
      <c r="L14" s="580">
        <f t="shared" si="1"/>
        <v>200973</v>
      </c>
      <c r="M14" s="580">
        <f t="shared" si="1"/>
        <v>200973</v>
      </c>
      <c r="N14" s="580">
        <f t="shared" si="1"/>
        <v>200973</v>
      </c>
      <c r="O14" s="581">
        <f>SUM(O8:O13)</f>
        <v>2519633</v>
      </c>
      <c r="P14" s="33"/>
    </row>
    <row r="15" spans="1:33" s="29" customFormat="1" ht="15.75" customHeight="1" x14ac:dyDescent="0.25">
      <c r="A15" s="21" t="s">
        <v>509</v>
      </c>
      <c r="B15" s="29" t="s">
        <v>669</v>
      </c>
      <c r="C15" s="185"/>
      <c r="D15" s="185"/>
      <c r="E15" s="185"/>
      <c r="F15" s="185"/>
      <c r="G15" s="582"/>
      <c r="H15" s="582"/>
      <c r="I15" s="582"/>
      <c r="J15" s="582"/>
      <c r="K15" s="582"/>
      <c r="L15" s="582"/>
      <c r="M15" s="582"/>
      <c r="N15" s="582"/>
      <c r="O15" s="187">
        <f>Össz.önkor.mérleg.!E24</f>
        <v>203461</v>
      </c>
      <c r="P15" s="32"/>
    </row>
    <row r="16" spans="1:33" s="29" customFormat="1" ht="15" customHeight="1" x14ac:dyDescent="0.25">
      <c r="A16" s="21" t="s">
        <v>551</v>
      </c>
      <c r="B16" s="29" t="s">
        <v>670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7">
        <v>0</v>
      </c>
      <c r="P16" s="32"/>
    </row>
    <row r="17" spans="1:256" s="29" customFormat="1" ht="16.5" customHeight="1" x14ac:dyDescent="0.25">
      <c r="A17" s="21" t="s">
        <v>552</v>
      </c>
      <c r="B17" s="29" t="s">
        <v>586</v>
      </c>
      <c r="C17" s="185">
        <f>O17/12</f>
        <v>239.16666666666666</v>
      </c>
      <c r="D17" s="185">
        <v>241</v>
      </c>
      <c r="E17" s="185">
        <v>239</v>
      </c>
      <c r="F17" s="185">
        <v>239</v>
      </c>
      <c r="G17" s="185">
        <v>239</v>
      </c>
      <c r="H17" s="185">
        <v>239</v>
      </c>
      <c r="I17" s="185">
        <v>239</v>
      </c>
      <c r="J17" s="185">
        <v>239</v>
      </c>
      <c r="K17" s="185">
        <v>239</v>
      </c>
      <c r="L17" s="185">
        <v>239</v>
      </c>
      <c r="M17" s="185">
        <v>239</v>
      </c>
      <c r="N17" s="185">
        <v>239</v>
      </c>
      <c r="O17" s="187">
        <f>Össz.önkor.mérleg.!E30</f>
        <v>2870</v>
      </c>
      <c r="P17" s="32"/>
    </row>
    <row r="18" spans="1:256" s="30" customFormat="1" ht="15" customHeight="1" x14ac:dyDescent="0.25">
      <c r="A18" s="21" t="s">
        <v>553</v>
      </c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7">
        <f t="shared" si="0"/>
        <v>0</v>
      </c>
      <c r="P18" s="32"/>
    </row>
    <row r="19" spans="1:256" s="35" customFormat="1" ht="16.5" customHeight="1" x14ac:dyDescent="0.25">
      <c r="A19" s="21" t="s">
        <v>554</v>
      </c>
      <c r="B19" s="632" t="s">
        <v>645</v>
      </c>
      <c r="C19" s="633">
        <f>SUM(C15:C18)</f>
        <v>239.16666666666666</v>
      </c>
      <c r="D19" s="633">
        <f>SUM(D15:D18)</f>
        <v>241</v>
      </c>
      <c r="E19" s="633">
        <f>SUM(E15:E18)</f>
        <v>239</v>
      </c>
      <c r="F19" s="633">
        <f t="shared" ref="F19:M19" si="2">SUM(F15:F18)</f>
        <v>239</v>
      </c>
      <c r="G19" s="633">
        <f t="shared" si="2"/>
        <v>239</v>
      </c>
      <c r="H19" s="633">
        <f t="shared" si="2"/>
        <v>239</v>
      </c>
      <c r="I19" s="633">
        <f t="shared" si="2"/>
        <v>239</v>
      </c>
      <c r="J19" s="633">
        <f t="shared" si="2"/>
        <v>239</v>
      </c>
      <c r="K19" s="633">
        <f t="shared" si="2"/>
        <v>239</v>
      </c>
      <c r="L19" s="633">
        <f t="shared" si="2"/>
        <v>239</v>
      </c>
      <c r="M19" s="633">
        <f t="shared" si="2"/>
        <v>239</v>
      </c>
      <c r="N19" s="633">
        <f>SUM(N15:N18)</f>
        <v>239</v>
      </c>
      <c r="O19" s="634">
        <f>SUM(O15:O18)</f>
        <v>206331</v>
      </c>
      <c r="P19" s="34"/>
    </row>
    <row r="20" spans="1:256" s="31" customFormat="1" ht="16.5" customHeight="1" x14ac:dyDescent="0.25">
      <c r="A20" s="21" t="s">
        <v>555</v>
      </c>
      <c r="B20" s="35" t="s">
        <v>671</v>
      </c>
      <c r="C20" s="188"/>
      <c r="D20" s="188"/>
      <c r="E20" s="188"/>
      <c r="F20" s="188"/>
      <c r="G20" s="188"/>
      <c r="H20" s="186"/>
      <c r="I20" s="186"/>
      <c r="J20" s="186"/>
      <c r="K20" s="186"/>
      <c r="L20" s="186"/>
      <c r="M20" s="186"/>
      <c r="N20" s="186"/>
      <c r="O20" s="187">
        <f>SUM(C20:N20)</f>
        <v>0</v>
      </c>
      <c r="P20" s="33"/>
    </row>
    <row r="21" spans="1:256" s="29" customFormat="1" ht="15.75" customHeight="1" x14ac:dyDescent="0.25">
      <c r="A21" s="21" t="s">
        <v>556</v>
      </c>
      <c r="B21" s="30" t="s">
        <v>475</v>
      </c>
      <c r="C21" s="186">
        <f>O21/12</f>
        <v>218710</v>
      </c>
      <c r="D21" s="186">
        <v>197609</v>
      </c>
      <c r="E21" s="186">
        <v>197615</v>
      </c>
      <c r="F21" s="186">
        <v>197615</v>
      </c>
      <c r="G21" s="186">
        <v>197615</v>
      </c>
      <c r="H21" s="186">
        <v>197615</v>
      </c>
      <c r="I21" s="186">
        <v>197615</v>
      </c>
      <c r="J21" s="186">
        <v>197615</v>
      </c>
      <c r="K21" s="186">
        <v>197615</v>
      </c>
      <c r="L21" s="186">
        <v>197615</v>
      </c>
      <c r="M21" s="186">
        <v>197615</v>
      </c>
      <c r="N21" s="186">
        <v>197615</v>
      </c>
      <c r="O21" s="187">
        <f>Össz.önkor.mérleg.!E54</f>
        <v>2624520</v>
      </c>
      <c r="P21" s="32"/>
    </row>
    <row r="22" spans="1:256" s="31" customFormat="1" ht="16.5" customHeight="1" x14ac:dyDescent="0.25">
      <c r="A22" s="21" t="s">
        <v>557</v>
      </c>
      <c r="B22" s="583" t="s">
        <v>646</v>
      </c>
      <c r="C22" s="584">
        <f t="shared" ref="C22:N22" si="3">C19+C14+C20+C21</f>
        <v>428918.58333333331</v>
      </c>
      <c r="D22" s="584">
        <f t="shared" si="3"/>
        <v>398828</v>
      </c>
      <c r="E22" s="584">
        <f t="shared" si="3"/>
        <v>398827</v>
      </c>
      <c r="F22" s="584">
        <f t="shared" si="3"/>
        <v>398827</v>
      </c>
      <c r="G22" s="584">
        <f t="shared" si="3"/>
        <v>398827</v>
      </c>
      <c r="H22" s="584">
        <f t="shared" si="3"/>
        <v>398827</v>
      </c>
      <c r="I22" s="584">
        <f t="shared" si="3"/>
        <v>398827</v>
      </c>
      <c r="J22" s="584">
        <f t="shared" si="3"/>
        <v>398827</v>
      </c>
      <c r="K22" s="584">
        <f t="shared" si="3"/>
        <v>398827</v>
      </c>
      <c r="L22" s="584">
        <f t="shared" si="3"/>
        <v>398827</v>
      </c>
      <c r="M22" s="584">
        <f t="shared" si="3"/>
        <v>398827</v>
      </c>
      <c r="N22" s="584">
        <f t="shared" si="3"/>
        <v>398827</v>
      </c>
      <c r="O22" s="585">
        <f>O14+O21+O19</f>
        <v>5350484</v>
      </c>
      <c r="P22" s="33"/>
    </row>
    <row r="23" spans="1:256" s="15" customFormat="1" ht="15" customHeight="1" x14ac:dyDescent="0.25">
      <c r="A23" s="21" t="s">
        <v>558</v>
      </c>
      <c r="B23" s="31"/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187"/>
      <c r="O23" s="187"/>
    </row>
    <row r="24" spans="1:256" s="31" customFormat="1" ht="12.75" customHeight="1" x14ac:dyDescent="0.25">
      <c r="A24" s="21" t="s">
        <v>560</v>
      </c>
      <c r="B24" s="31" t="s">
        <v>65</v>
      </c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  <c r="O24" s="187"/>
    </row>
    <row r="25" spans="1:256" s="29" customFormat="1" ht="15.75" customHeight="1" x14ac:dyDescent="0.25">
      <c r="A25" s="21" t="s">
        <v>561</v>
      </c>
      <c r="B25" s="29" t="s">
        <v>476</v>
      </c>
      <c r="C25" s="185">
        <f t="shared" ref="C25:C32" si="4">O25/12</f>
        <v>79740.333333333328</v>
      </c>
      <c r="D25" s="185">
        <v>75820</v>
      </c>
      <c r="E25" s="185">
        <v>75817</v>
      </c>
      <c r="F25" s="185">
        <v>75817</v>
      </c>
      <c r="G25" s="185">
        <v>75817</v>
      </c>
      <c r="H25" s="185">
        <v>75817</v>
      </c>
      <c r="I25" s="185">
        <v>75817</v>
      </c>
      <c r="J25" s="185">
        <v>75817</v>
      </c>
      <c r="K25" s="185">
        <v>75817</v>
      </c>
      <c r="L25" s="185">
        <v>75817</v>
      </c>
      <c r="M25" s="185">
        <v>75817</v>
      </c>
      <c r="N25" s="185">
        <v>75817</v>
      </c>
      <c r="O25" s="187">
        <f>Össz.önkor.mérleg.!N10</f>
        <v>956884</v>
      </c>
      <c r="P25" s="32"/>
    </row>
    <row r="26" spans="1:256" s="29" customFormat="1" ht="17.25" customHeight="1" x14ac:dyDescent="0.25">
      <c r="A26" s="21" t="s">
        <v>562</v>
      </c>
      <c r="B26" s="29" t="s">
        <v>477</v>
      </c>
      <c r="C26" s="185">
        <f t="shared" si="4"/>
        <v>18205.75</v>
      </c>
      <c r="D26" s="185">
        <v>17473</v>
      </c>
      <c r="E26" s="185">
        <v>17479</v>
      </c>
      <c r="F26" s="185">
        <v>17479</v>
      </c>
      <c r="G26" s="185">
        <v>17479</v>
      </c>
      <c r="H26" s="185">
        <v>17479</v>
      </c>
      <c r="I26" s="185">
        <v>17479</v>
      </c>
      <c r="J26" s="185">
        <v>17479</v>
      </c>
      <c r="K26" s="185">
        <v>17479</v>
      </c>
      <c r="L26" s="185">
        <v>17479</v>
      </c>
      <c r="M26" s="185">
        <v>17479</v>
      </c>
      <c r="N26" s="185">
        <v>17479</v>
      </c>
      <c r="O26" s="187">
        <f>Össz.önkor.mérleg.!N11</f>
        <v>218469</v>
      </c>
      <c r="P26" s="32"/>
    </row>
    <row r="27" spans="1:256" s="29" customFormat="1" ht="13.5" customHeight="1" x14ac:dyDescent="0.25">
      <c r="A27" s="21" t="s">
        <v>563</v>
      </c>
      <c r="B27" s="29" t="s">
        <v>478</v>
      </c>
      <c r="C27" s="185">
        <f t="shared" si="4"/>
        <v>94161.416666666672</v>
      </c>
      <c r="D27" s="185">
        <v>78841</v>
      </c>
      <c r="E27" s="185">
        <v>78839</v>
      </c>
      <c r="F27" s="185">
        <v>78839</v>
      </c>
      <c r="G27" s="185">
        <v>78839</v>
      </c>
      <c r="H27" s="185">
        <v>78839</v>
      </c>
      <c r="I27" s="185">
        <v>78839</v>
      </c>
      <c r="J27" s="185">
        <v>78839</v>
      </c>
      <c r="K27" s="185">
        <v>78839</v>
      </c>
      <c r="L27" s="185">
        <v>78839</v>
      </c>
      <c r="M27" s="185">
        <v>78839</v>
      </c>
      <c r="N27" s="185">
        <v>78839</v>
      </c>
      <c r="O27" s="187">
        <f>Össz.önkor.mérleg.!N12</f>
        <v>1129937</v>
      </c>
      <c r="P27" s="32"/>
    </row>
    <row r="28" spans="1:256" s="29" customFormat="1" ht="15" customHeight="1" x14ac:dyDescent="0.25">
      <c r="A28" s="21" t="s">
        <v>564</v>
      </c>
      <c r="B28" s="29" t="s">
        <v>647</v>
      </c>
      <c r="C28" s="185">
        <f t="shared" si="4"/>
        <v>1175</v>
      </c>
      <c r="D28" s="185">
        <v>1175</v>
      </c>
      <c r="E28" s="185">
        <v>1175</v>
      </c>
      <c r="F28" s="185">
        <v>1175</v>
      </c>
      <c r="G28" s="185">
        <v>1175</v>
      </c>
      <c r="H28" s="185">
        <v>1175</v>
      </c>
      <c r="I28" s="185">
        <v>1175</v>
      </c>
      <c r="J28" s="185">
        <v>1175</v>
      </c>
      <c r="K28" s="185">
        <v>1175</v>
      </c>
      <c r="L28" s="185">
        <v>1175</v>
      </c>
      <c r="M28" s="185">
        <v>1175</v>
      </c>
      <c r="N28" s="185">
        <v>1175</v>
      </c>
      <c r="O28" s="187">
        <f>Össz.önkor.mérleg.!N14</f>
        <v>14100</v>
      </c>
      <c r="P28" s="32"/>
      <c r="IV28" s="32"/>
    </row>
    <row r="29" spans="1:256" s="29" customFormat="1" ht="15" customHeight="1" x14ac:dyDescent="0.25">
      <c r="A29" s="21" t="s">
        <v>565</v>
      </c>
      <c r="B29" s="29" t="s">
        <v>274</v>
      </c>
      <c r="C29" s="185">
        <v>38</v>
      </c>
      <c r="D29" s="185">
        <v>33</v>
      </c>
      <c r="E29" s="185">
        <v>38</v>
      </c>
      <c r="F29" s="185">
        <v>38</v>
      </c>
      <c r="G29" s="185">
        <v>38</v>
      </c>
      <c r="H29" s="185">
        <v>38</v>
      </c>
      <c r="I29" s="185">
        <v>38</v>
      </c>
      <c r="J29" s="185">
        <v>38</v>
      </c>
      <c r="K29" s="185">
        <v>38</v>
      </c>
      <c r="L29" s="185">
        <v>38</v>
      </c>
      <c r="M29" s="185">
        <v>38</v>
      </c>
      <c r="N29" s="185">
        <v>38</v>
      </c>
      <c r="O29" s="187">
        <f>Össz.önkor.mérleg.!N19</f>
        <v>451</v>
      </c>
      <c r="P29" s="32"/>
    </row>
    <row r="30" spans="1:256" s="29" customFormat="1" ht="12.75" customHeight="1" x14ac:dyDescent="0.25">
      <c r="A30" s="21" t="s">
        <v>566</v>
      </c>
      <c r="B30" s="29" t="s">
        <v>479</v>
      </c>
      <c r="C30" s="185">
        <v>3993</v>
      </c>
      <c r="D30" s="185">
        <v>3989</v>
      </c>
      <c r="E30" s="185">
        <v>3993</v>
      </c>
      <c r="F30" s="185">
        <v>3993</v>
      </c>
      <c r="G30" s="185">
        <v>3993</v>
      </c>
      <c r="H30" s="185">
        <v>3993</v>
      </c>
      <c r="I30" s="185">
        <v>3993</v>
      </c>
      <c r="J30" s="185">
        <v>3993</v>
      </c>
      <c r="K30" s="185">
        <v>3993</v>
      </c>
      <c r="L30" s="185">
        <v>3993</v>
      </c>
      <c r="M30" s="185">
        <v>3993</v>
      </c>
      <c r="N30" s="185">
        <v>3993</v>
      </c>
      <c r="O30" s="187">
        <f>Össz.önkor.mérleg.!N17</f>
        <v>69927</v>
      </c>
      <c r="P30" s="32"/>
    </row>
    <row r="31" spans="1:256" s="29" customFormat="1" ht="15.75" customHeight="1" x14ac:dyDescent="0.25">
      <c r="A31" s="21" t="s">
        <v>567</v>
      </c>
      <c r="B31" s="29" t="s">
        <v>480</v>
      </c>
      <c r="C31" s="185">
        <f t="shared" si="4"/>
        <v>26843.166666666668</v>
      </c>
      <c r="D31" s="185">
        <v>22360</v>
      </c>
      <c r="E31" s="185">
        <v>22360</v>
      </c>
      <c r="F31" s="185">
        <v>22360</v>
      </c>
      <c r="G31" s="185">
        <v>22360</v>
      </c>
      <c r="H31" s="185">
        <v>22360</v>
      </c>
      <c r="I31" s="185">
        <v>22360</v>
      </c>
      <c r="J31" s="185">
        <v>22360</v>
      </c>
      <c r="K31" s="185">
        <v>22360</v>
      </c>
      <c r="L31" s="185">
        <v>22360</v>
      </c>
      <c r="M31" s="185">
        <v>22360</v>
      </c>
      <c r="N31" s="185">
        <v>22360</v>
      </c>
      <c r="O31" s="187">
        <f>Össz.önkor.mérleg.!N18</f>
        <v>322118</v>
      </c>
      <c r="P31" s="32"/>
    </row>
    <row r="32" spans="1:256" s="29" customFormat="1" ht="15" customHeight="1" x14ac:dyDescent="0.25">
      <c r="A32" s="21" t="s">
        <v>587</v>
      </c>
      <c r="B32" s="29" t="s">
        <v>675</v>
      </c>
      <c r="C32" s="185">
        <f t="shared" si="4"/>
        <v>3306.4166666666665</v>
      </c>
      <c r="D32" s="185">
        <v>7087</v>
      </c>
      <c r="E32" s="185">
        <v>7091</v>
      </c>
      <c r="F32" s="185">
        <v>7091</v>
      </c>
      <c r="G32" s="185">
        <v>7091</v>
      </c>
      <c r="H32" s="185">
        <v>7091</v>
      </c>
      <c r="I32" s="185">
        <v>7091</v>
      </c>
      <c r="J32" s="185">
        <v>7091</v>
      </c>
      <c r="K32" s="185">
        <v>7091</v>
      </c>
      <c r="L32" s="185">
        <v>7091</v>
      </c>
      <c r="M32" s="185">
        <v>7091</v>
      </c>
      <c r="N32" s="185">
        <v>7091</v>
      </c>
      <c r="O32" s="187">
        <f>Össz.önkor.mérleg.!N20+Össz.önkor.mérleg.!N21</f>
        <v>39677</v>
      </c>
      <c r="P32" s="32"/>
    </row>
    <row r="33" spans="1:16" s="30" customFormat="1" ht="15.75" customHeight="1" x14ac:dyDescent="0.25">
      <c r="A33" s="21" t="s">
        <v>588</v>
      </c>
      <c r="B33" s="635" t="s">
        <v>648</v>
      </c>
      <c r="C33" s="633">
        <f>SUM(C25:C32)</f>
        <v>227463.08333333331</v>
      </c>
      <c r="D33" s="633">
        <f>SUM(D25:D32)</f>
        <v>206778</v>
      </c>
      <c r="E33" s="633">
        <f t="shared" ref="E33:N33" si="5">SUM(E25:E32)</f>
        <v>206792</v>
      </c>
      <c r="F33" s="633">
        <f t="shared" si="5"/>
        <v>206792</v>
      </c>
      <c r="G33" s="633">
        <f t="shared" si="5"/>
        <v>206792</v>
      </c>
      <c r="H33" s="633">
        <f t="shared" si="5"/>
        <v>206792</v>
      </c>
      <c r="I33" s="633">
        <f t="shared" si="5"/>
        <v>206792</v>
      </c>
      <c r="J33" s="633">
        <f t="shared" si="5"/>
        <v>206792</v>
      </c>
      <c r="K33" s="633">
        <f t="shared" si="5"/>
        <v>206792</v>
      </c>
      <c r="L33" s="633">
        <f t="shared" si="5"/>
        <v>206792</v>
      </c>
      <c r="M33" s="633">
        <f t="shared" si="5"/>
        <v>206792</v>
      </c>
      <c r="N33" s="633">
        <f t="shared" si="5"/>
        <v>206792</v>
      </c>
      <c r="O33" s="634">
        <f>SUM(O25:O32)</f>
        <v>2751563</v>
      </c>
      <c r="P33" s="439"/>
    </row>
    <row r="34" spans="1:16" s="30" customFormat="1" ht="15" customHeight="1" x14ac:dyDescent="0.25">
      <c r="A34" s="21" t="s">
        <v>589</v>
      </c>
      <c r="B34" s="30" t="s">
        <v>649</v>
      </c>
      <c r="C34" s="186">
        <f t="shared" ref="C34:C39" si="6">O34/12</f>
        <v>187930.58333333334</v>
      </c>
      <c r="D34" s="186">
        <v>167754</v>
      </c>
      <c r="E34" s="186">
        <v>167757</v>
      </c>
      <c r="F34" s="186">
        <v>167757</v>
      </c>
      <c r="G34" s="186">
        <v>167757</v>
      </c>
      <c r="H34" s="186">
        <v>167757</v>
      </c>
      <c r="I34" s="186">
        <v>167757</v>
      </c>
      <c r="J34" s="186">
        <v>167757</v>
      </c>
      <c r="K34" s="186">
        <v>167757</v>
      </c>
      <c r="L34" s="186">
        <v>167757</v>
      </c>
      <c r="M34" s="186">
        <v>167757</v>
      </c>
      <c r="N34" s="186">
        <v>167757</v>
      </c>
      <c r="O34" s="188">
        <f>Össz.önkor.mérleg.!N27</f>
        <v>2255167</v>
      </c>
      <c r="P34" s="439"/>
    </row>
    <row r="35" spans="1:16" s="30" customFormat="1" ht="15" customHeight="1" x14ac:dyDescent="0.25">
      <c r="A35" s="21" t="s">
        <v>590</v>
      </c>
      <c r="B35" s="30" t="s">
        <v>498</v>
      </c>
      <c r="C35" s="186">
        <f t="shared" si="6"/>
        <v>870.66666666666663</v>
      </c>
      <c r="D35" s="186">
        <v>837</v>
      </c>
      <c r="E35" s="186">
        <v>833</v>
      </c>
      <c r="F35" s="186">
        <v>833</v>
      </c>
      <c r="G35" s="186">
        <v>833</v>
      </c>
      <c r="H35" s="186">
        <v>833</v>
      </c>
      <c r="I35" s="186">
        <v>833</v>
      </c>
      <c r="J35" s="186">
        <v>833</v>
      </c>
      <c r="K35" s="186">
        <v>833</v>
      </c>
      <c r="L35" s="186">
        <v>833</v>
      </c>
      <c r="M35" s="186">
        <v>833</v>
      </c>
      <c r="N35" s="186">
        <v>833</v>
      </c>
      <c r="O35" s="188">
        <f>Össz.önkor.mérleg.!N28</f>
        <v>10448</v>
      </c>
      <c r="P35" s="439"/>
    </row>
    <row r="36" spans="1:16" s="30" customFormat="1" ht="15.75" customHeight="1" x14ac:dyDescent="0.25">
      <c r="A36" s="21" t="s">
        <v>591</v>
      </c>
      <c r="B36" s="30" t="s">
        <v>481</v>
      </c>
      <c r="C36" s="186">
        <f t="shared" si="6"/>
        <v>0</v>
      </c>
      <c r="D36" s="186">
        <v>0</v>
      </c>
      <c r="E36" s="186">
        <v>0</v>
      </c>
      <c r="F36" s="186">
        <v>0</v>
      </c>
      <c r="G36" s="186">
        <v>0</v>
      </c>
      <c r="H36" s="186">
        <v>0</v>
      </c>
      <c r="I36" s="186">
        <v>0</v>
      </c>
      <c r="J36" s="186">
        <v>0</v>
      </c>
      <c r="K36" s="186">
        <v>0</v>
      </c>
      <c r="L36" s="186">
        <v>0</v>
      </c>
      <c r="M36" s="186">
        <v>0</v>
      </c>
      <c r="N36" s="186">
        <v>0</v>
      </c>
      <c r="O36" s="188">
        <f>Össz.önkor.mérleg.!N29</f>
        <v>0</v>
      </c>
    </row>
    <row r="37" spans="1:16" s="30" customFormat="1" ht="15.75" customHeight="1" x14ac:dyDescent="0.25">
      <c r="A37" s="21" t="s">
        <v>592</v>
      </c>
      <c r="B37" s="29" t="s">
        <v>673</v>
      </c>
      <c r="C37" s="186">
        <f t="shared" si="6"/>
        <v>269.83333333333331</v>
      </c>
      <c r="D37" s="186">
        <v>0</v>
      </c>
      <c r="E37" s="186">
        <v>0</v>
      </c>
      <c r="F37" s="186">
        <v>0</v>
      </c>
      <c r="G37" s="186">
        <v>0</v>
      </c>
      <c r="H37" s="186">
        <v>0</v>
      </c>
      <c r="I37" s="186">
        <v>0</v>
      </c>
      <c r="J37" s="186">
        <v>0</v>
      </c>
      <c r="K37" s="186">
        <v>0</v>
      </c>
      <c r="L37" s="186">
        <v>0</v>
      </c>
      <c r="M37" s="186">
        <v>0</v>
      </c>
      <c r="N37" s="186">
        <v>0</v>
      </c>
      <c r="O37" s="188">
        <f>Össz.önkor.mérleg.!N30</f>
        <v>3238</v>
      </c>
    </row>
    <row r="38" spans="1:16" s="30" customFormat="1" ht="16.5" customHeight="1" x14ac:dyDescent="0.25">
      <c r="A38" s="21" t="s">
        <v>593</v>
      </c>
      <c r="B38" s="29" t="s">
        <v>674</v>
      </c>
      <c r="C38" s="186">
        <f t="shared" si="6"/>
        <v>7031</v>
      </c>
      <c r="D38" s="186">
        <v>8272</v>
      </c>
      <c r="E38" s="186">
        <v>8276</v>
      </c>
      <c r="F38" s="186">
        <v>8276</v>
      </c>
      <c r="G38" s="186">
        <v>8276</v>
      </c>
      <c r="H38" s="186">
        <v>8276</v>
      </c>
      <c r="I38" s="186">
        <v>8276</v>
      </c>
      <c r="J38" s="186">
        <v>8276</v>
      </c>
      <c r="K38" s="186">
        <v>8276</v>
      </c>
      <c r="L38" s="186">
        <v>8276</v>
      </c>
      <c r="M38" s="186">
        <v>8276</v>
      </c>
      <c r="N38" s="186">
        <v>8276</v>
      </c>
      <c r="O38" s="188">
        <f>Össz.önkor.mérleg.!N32</f>
        <v>84372</v>
      </c>
      <c r="P38" s="439"/>
    </row>
    <row r="39" spans="1:16" s="30" customFormat="1" ht="15" customHeight="1" x14ac:dyDescent="0.25">
      <c r="A39" s="21" t="s">
        <v>594</v>
      </c>
      <c r="B39" s="29" t="s">
        <v>676</v>
      </c>
      <c r="C39" s="186">
        <f t="shared" si="6"/>
        <v>31889</v>
      </c>
      <c r="D39" s="186">
        <v>12915</v>
      </c>
      <c r="E39" s="186">
        <v>12913</v>
      </c>
      <c r="F39" s="186">
        <v>12913</v>
      </c>
      <c r="G39" s="186">
        <v>12913</v>
      </c>
      <c r="H39" s="186">
        <v>12913</v>
      </c>
      <c r="I39" s="186">
        <v>12913</v>
      </c>
      <c r="J39" s="186">
        <v>12913</v>
      </c>
      <c r="K39" s="186">
        <v>12913</v>
      </c>
      <c r="L39" s="186">
        <v>12913</v>
      </c>
      <c r="M39" s="186">
        <v>12913</v>
      </c>
      <c r="N39" s="186">
        <v>12913</v>
      </c>
      <c r="O39" s="188">
        <f>Össz.önkor.mérleg.!N33</f>
        <v>382668</v>
      </c>
      <c r="P39" s="439"/>
    </row>
    <row r="40" spans="1:16" s="35" customFormat="1" ht="15" customHeight="1" x14ac:dyDescent="0.25">
      <c r="A40" s="21" t="s">
        <v>595</v>
      </c>
      <c r="B40" s="579" t="s">
        <v>677</v>
      </c>
      <c r="C40" s="580">
        <f t="shared" ref="C40:O40" si="7">SUM(C34:C39)</f>
        <v>227991.08333333334</v>
      </c>
      <c r="D40" s="580">
        <f t="shared" si="7"/>
        <v>189778</v>
      </c>
      <c r="E40" s="580">
        <f t="shared" si="7"/>
        <v>189779</v>
      </c>
      <c r="F40" s="580">
        <f t="shared" si="7"/>
        <v>189779</v>
      </c>
      <c r="G40" s="580">
        <f t="shared" si="7"/>
        <v>189779</v>
      </c>
      <c r="H40" s="580">
        <f t="shared" si="7"/>
        <v>189779</v>
      </c>
      <c r="I40" s="580">
        <f t="shared" si="7"/>
        <v>189779</v>
      </c>
      <c r="J40" s="580">
        <f t="shared" si="7"/>
        <v>189779</v>
      </c>
      <c r="K40" s="580">
        <f t="shared" si="7"/>
        <v>189779</v>
      </c>
      <c r="L40" s="580">
        <f t="shared" si="7"/>
        <v>189779</v>
      </c>
      <c r="M40" s="580">
        <f t="shared" si="7"/>
        <v>189779</v>
      </c>
      <c r="N40" s="580">
        <f t="shared" si="7"/>
        <v>189779</v>
      </c>
      <c r="O40" s="580">
        <f t="shared" si="7"/>
        <v>2735893</v>
      </c>
      <c r="P40" s="34"/>
    </row>
    <row r="41" spans="1:16" s="35" customFormat="1" ht="15" customHeight="1" x14ac:dyDescent="0.25">
      <c r="A41" s="21" t="s">
        <v>650</v>
      </c>
      <c r="B41" s="629" t="s">
        <v>1140</v>
      </c>
      <c r="C41" s="630">
        <f>O41/12</f>
        <v>2717.3333333333335</v>
      </c>
      <c r="D41" s="630">
        <v>2261</v>
      </c>
      <c r="E41" s="630">
        <v>2257</v>
      </c>
      <c r="F41" s="630">
        <v>2257</v>
      </c>
      <c r="G41" s="630">
        <v>2257</v>
      </c>
      <c r="H41" s="630">
        <v>2257</v>
      </c>
      <c r="I41" s="630">
        <v>2257</v>
      </c>
      <c r="J41" s="630">
        <v>2257</v>
      </c>
      <c r="K41" s="630">
        <v>2257</v>
      </c>
      <c r="L41" s="630">
        <v>2257</v>
      </c>
      <c r="M41" s="630">
        <v>2257</v>
      </c>
      <c r="N41" s="630">
        <v>2257</v>
      </c>
      <c r="O41" s="628">
        <f>Össz.önkor.mérleg.!N47</f>
        <v>32608</v>
      </c>
      <c r="P41" s="34"/>
    </row>
    <row r="42" spans="1:16" s="29" customFormat="1" ht="15.75" customHeight="1" x14ac:dyDescent="0.25">
      <c r="A42" s="21" t="s">
        <v>651</v>
      </c>
      <c r="B42" s="627" t="s">
        <v>1139</v>
      </c>
      <c r="C42" s="185">
        <f>SUM(C41)</f>
        <v>2717.3333333333335</v>
      </c>
      <c r="D42" s="185">
        <f>SUM(D41)</f>
        <v>2261</v>
      </c>
      <c r="E42" s="185">
        <f t="shared" ref="E42:N42" si="8">SUM(E41)</f>
        <v>2257</v>
      </c>
      <c r="F42" s="185">
        <f t="shared" si="8"/>
        <v>2257</v>
      </c>
      <c r="G42" s="185">
        <f t="shared" si="8"/>
        <v>2257</v>
      </c>
      <c r="H42" s="185">
        <f t="shared" si="8"/>
        <v>2257</v>
      </c>
      <c r="I42" s="185">
        <f t="shared" si="8"/>
        <v>2257</v>
      </c>
      <c r="J42" s="185">
        <f t="shared" si="8"/>
        <v>2257</v>
      </c>
      <c r="K42" s="185">
        <f t="shared" si="8"/>
        <v>2257</v>
      </c>
      <c r="L42" s="185">
        <f t="shared" si="8"/>
        <v>2257</v>
      </c>
      <c r="M42" s="185">
        <f t="shared" si="8"/>
        <v>2257</v>
      </c>
      <c r="N42" s="185">
        <f t="shared" si="8"/>
        <v>2257</v>
      </c>
      <c r="O42" s="187">
        <f>SUM(C42:N42)</f>
        <v>27548.333333333336</v>
      </c>
    </row>
    <row r="43" spans="1:16" s="31" customFormat="1" ht="16.5" customHeight="1" x14ac:dyDescent="0.25">
      <c r="A43" s="21" t="s">
        <v>652</v>
      </c>
      <c r="B43" s="583" t="s">
        <v>680</v>
      </c>
      <c r="C43" s="584">
        <f t="shared" ref="C43:N43" si="9">C40+C33+C42</f>
        <v>458171.49999999994</v>
      </c>
      <c r="D43" s="584">
        <f t="shared" si="9"/>
        <v>398817</v>
      </c>
      <c r="E43" s="584">
        <f t="shared" si="9"/>
        <v>398828</v>
      </c>
      <c r="F43" s="584">
        <f t="shared" si="9"/>
        <v>398828</v>
      </c>
      <c r="G43" s="584">
        <f t="shared" si="9"/>
        <v>398828</v>
      </c>
      <c r="H43" s="584">
        <f t="shared" si="9"/>
        <v>398828</v>
      </c>
      <c r="I43" s="584">
        <f t="shared" si="9"/>
        <v>398828</v>
      </c>
      <c r="J43" s="584">
        <f t="shared" si="9"/>
        <v>398828</v>
      </c>
      <c r="K43" s="584">
        <f t="shared" si="9"/>
        <v>398828</v>
      </c>
      <c r="L43" s="584">
        <f t="shared" si="9"/>
        <v>398828</v>
      </c>
      <c r="M43" s="584">
        <f t="shared" si="9"/>
        <v>398828</v>
      </c>
      <c r="N43" s="584">
        <f t="shared" si="9"/>
        <v>398828</v>
      </c>
      <c r="O43" s="585">
        <f>SUM(C43:N43)</f>
        <v>4845268.5</v>
      </c>
      <c r="P43" s="33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P110"/>
  <sheetViews>
    <sheetView zoomScale="90" zoomScaleNormal="90" workbookViewId="0">
      <pane xSplit="2" ySplit="9" topLeftCell="C71" activePane="bottomRight" state="frozen"/>
      <selection activeCell="B65" sqref="B65"/>
      <selection pane="topRight" activeCell="B65" sqref="B65"/>
      <selection pane="bottomLeft" activeCell="B65" sqref="B65"/>
      <selection pane="bottomRight" sqref="A1:AF1"/>
    </sheetView>
  </sheetViews>
  <sheetFormatPr defaultColWidth="9.140625" defaultRowHeight="13.9" customHeight="1" x14ac:dyDescent="0.25"/>
  <cols>
    <col min="1" max="1" width="4.42578125" style="17" customWidth="1"/>
    <col min="2" max="2" width="38.85546875" style="23" customWidth="1"/>
    <col min="3" max="3" width="6.42578125" style="17" customWidth="1"/>
    <col min="4" max="4" width="5" style="17" customWidth="1"/>
    <col min="5" max="5" width="5.5703125" style="17" customWidth="1"/>
    <col min="6" max="8" width="4.7109375" style="17" customWidth="1"/>
    <col min="9" max="9" width="5.42578125" style="17" customWidth="1"/>
    <col min="10" max="11" width="4" style="17" customWidth="1"/>
    <col min="12" max="12" width="5.85546875" style="17" customWidth="1"/>
    <col min="13" max="13" width="5.7109375" style="17" customWidth="1"/>
    <col min="14" max="14" width="4" style="17" customWidth="1"/>
    <col min="15" max="15" width="5.7109375" style="17" customWidth="1"/>
    <col min="16" max="16" width="7.28515625" style="17" customWidth="1"/>
    <col min="17" max="17" width="6.7109375" style="17" customWidth="1"/>
    <col min="18" max="18" width="5.140625" style="17" customWidth="1"/>
    <col min="19" max="19" width="5.7109375" style="17" customWidth="1"/>
    <col min="20" max="21" width="6.7109375" style="17" customWidth="1"/>
    <col min="22" max="22" width="6.42578125" style="17" customWidth="1"/>
    <col min="23" max="23" width="6.7109375" style="17" customWidth="1"/>
    <col min="24" max="26" width="6.85546875" style="17" customWidth="1"/>
    <col min="27" max="27" width="6.5703125" style="17" customWidth="1"/>
    <col min="28" max="30" width="7.140625" style="17" customWidth="1"/>
    <col min="31" max="31" width="6" style="17" customWidth="1"/>
    <col min="32" max="32" width="7.5703125" style="17" customWidth="1"/>
    <col min="33" max="16384" width="9.140625" style="16"/>
  </cols>
  <sheetData>
    <row r="1" spans="1:33" ht="15.75" customHeight="1" x14ac:dyDescent="0.25">
      <c r="A1" s="1441" t="s">
        <v>1291</v>
      </c>
      <c r="B1" s="1441"/>
      <c r="C1" s="1441"/>
      <c r="D1" s="1441"/>
      <c r="E1" s="1441"/>
      <c r="F1" s="1441"/>
      <c r="G1" s="1441"/>
      <c r="H1" s="1441"/>
      <c r="I1" s="1441"/>
      <c r="J1" s="1441"/>
      <c r="K1" s="1441"/>
      <c r="L1" s="1441"/>
      <c r="M1" s="1441"/>
      <c r="N1" s="1441"/>
      <c r="O1" s="1441"/>
      <c r="P1" s="1441"/>
      <c r="Q1" s="1441"/>
      <c r="R1" s="1441"/>
      <c r="S1" s="1441"/>
      <c r="T1" s="1441"/>
      <c r="U1" s="1441"/>
      <c r="V1" s="1441"/>
      <c r="W1" s="1441"/>
      <c r="X1" s="1441"/>
      <c r="Y1" s="1441"/>
      <c r="Z1" s="1441"/>
      <c r="AA1" s="1441"/>
      <c r="AB1" s="1441"/>
      <c r="AC1" s="1441"/>
      <c r="AD1" s="1441"/>
      <c r="AE1" s="1441"/>
      <c r="AF1" s="1441"/>
    </row>
    <row r="2" spans="1:33" ht="15.75" customHeight="1" x14ac:dyDescent="0.25">
      <c r="A2" s="1442" t="s">
        <v>54</v>
      </c>
      <c r="B2" s="1442"/>
      <c r="C2" s="1442"/>
      <c r="D2" s="1442"/>
      <c r="E2" s="1442"/>
      <c r="F2" s="1442"/>
      <c r="G2" s="1442"/>
      <c r="H2" s="1442"/>
      <c r="I2" s="1442"/>
      <c r="J2" s="1442"/>
      <c r="K2" s="1442"/>
      <c r="L2" s="1442"/>
      <c r="M2" s="1442"/>
      <c r="N2" s="1442"/>
      <c r="O2" s="1442"/>
      <c r="P2" s="1442"/>
      <c r="Q2" s="1442"/>
      <c r="R2" s="1442"/>
      <c r="S2" s="1442"/>
      <c r="T2" s="1442"/>
      <c r="U2" s="1442"/>
      <c r="V2" s="1442"/>
      <c r="W2" s="1442"/>
      <c r="X2" s="1442"/>
      <c r="Y2" s="1442"/>
      <c r="Z2" s="1442"/>
      <c r="AA2" s="1442"/>
      <c r="AB2" s="1442"/>
      <c r="AC2" s="1442"/>
      <c r="AD2" s="1442"/>
      <c r="AE2" s="1442"/>
      <c r="AF2" s="1442"/>
    </row>
    <row r="3" spans="1:33" ht="15.75" customHeight="1" x14ac:dyDescent="0.25">
      <c r="A3" s="1442" t="s">
        <v>1108</v>
      </c>
      <c r="B3" s="1442"/>
      <c r="C3" s="1442"/>
      <c r="D3" s="1442"/>
      <c r="E3" s="1442"/>
      <c r="F3" s="1442"/>
      <c r="G3" s="1442"/>
      <c r="H3" s="1442"/>
      <c r="I3" s="1442"/>
      <c r="J3" s="1442"/>
      <c r="K3" s="1442"/>
      <c r="L3" s="1442"/>
      <c r="M3" s="1442"/>
      <c r="N3" s="1442"/>
      <c r="O3" s="1442"/>
      <c r="P3" s="1442"/>
      <c r="Q3" s="1442"/>
      <c r="R3" s="1442"/>
      <c r="S3" s="1442"/>
      <c r="T3" s="1442"/>
      <c r="U3" s="1442"/>
      <c r="V3" s="1442"/>
      <c r="W3" s="1442"/>
      <c r="X3" s="1442"/>
      <c r="Y3" s="1442"/>
      <c r="Z3" s="1442"/>
      <c r="AA3" s="1442"/>
      <c r="AB3" s="1442"/>
      <c r="AC3" s="1442"/>
      <c r="AD3" s="1442"/>
      <c r="AE3" s="1442"/>
      <c r="AF3" s="1442"/>
    </row>
    <row r="4" spans="1:33" ht="15.75" customHeight="1" x14ac:dyDescent="0.25"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 t="s">
        <v>681</v>
      </c>
    </row>
    <row r="5" spans="1:33" ht="27.75" customHeight="1" x14ac:dyDescent="0.25">
      <c r="A5" s="1445" t="s">
        <v>70</v>
      </c>
      <c r="B5" s="39" t="s">
        <v>57</v>
      </c>
      <c r="C5" s="1443" t="s">
        <v>58</v>
      </c>
      <c r="D5" s="1443"/>
      <c r="E5" s="1443"/>
      <c r="F5" s="1443" t="s">
        <v>59</v>
      </c>
      <c r="G5" s="1443"/>
      <c r="H5" s="1443"/>
      <c r="I5" s="1443"/>
      <c r="J5" s="1443" t="s">
        <v>60</v>
      </c>
      <c r="K5" s="1443"/>
      <c r="L5" s="1443"/>
      <c r="M5" s="1443"/>
      <c r="N5" s="1446" t="s">
        <v>485</v>
      </c>
      <c r="O5" s="1446"/>
      <c r="P5" s="1443" t="s">
        <v>486</v>
      </c>
      <c r="Q5" s="1443"/>
      <c r="R5" s="1443" t="s">
        <v>487</v>
      </c>
      <c r="S5" s="1443"/>
      <c r="T5" s="1444" t="s">
        <v>615</v>
      </c>
      <c r="U5" s="1444"/>
      <c r="V5" s="1444"/>
      <c r="W5" s="1444"/>
      <c r="X5" s="1443" t="s">
        <v>626</v>
      </c>
      <c r="Y5" s="1443"/>
      <c r="Z5" s="1443"/>
      <c r="AA5" s="1443"/>
      <c r="AB5" s="1443" t="s">
        <v>627</v>
      </c>
      <c r="AC5" s="1443"/>
      <c r="AD5" s="1443"/>
      <c r="AE5" s="1443"/>
      <c r="AF5" s="1443"/>
    </row>
    <row r="6" spans="1:33" s="4" customFormat="1" ht="30.75" customHeight="1" x14ac:dyDescent="0.2">
      <c r="A6" s="1445"/>
      <c r="B6" s="1416" t="s">
        <v>682</v>
      </c>
      <c r="C6" s="1450" t="s">
        <v>683</v>
      </c>
      <c r="D6" s="1450"/>
      <c r="E6" s="1450"/>
      <c r="F6" s="1450"/>
      <c r="G6" s="1450"/>
      <c r="H6" s="1450"/>
      <c r="I6" s="1450"/>
      <c r="J6" s="1450" t="s">
        <v>684</v>
      </c>
      <c r="K6" s="1450"/>
      <c r="L6" s="1450"/>
      <c r="M6" s="1450"/>
      <c r="N6" s="1450"/>
      <c r="O6" s="1450"/>
      <c r="P6" s="1451" t="s">
        <v>685</v>
      </c>
      <c r="Q6" s="1451"/>
      <c r="R6" s="1451"/>
      <c r="S6" s="1451"/>
      <c r="T6" s="1451" t="s">
        <v>550</v>
      </c>
      <c r="U6" s="1451"/>
      <c r="V6" s="1451"/>
      <c r="W6" s="1451"/>
      <c r="X6" s="1451"/>
      <c r="Y6" s="1451"/>
      <c r="Z6" s="1451"/>
      <c r="AA6" s="1451"/>
      <c r="AB6" s="1293" t="s">
        <v>686</v>
      </c>
      <c r="AC6" s="1293"/>
      <c r="AD6" s="1293"/>
      <c r="AE6" s="1293"/>
      <c r="AF6" s="1293"/>
    </row>
    <row r="7" spans="1:33" s="4" customFormat="1" ht="40.5" customHeight="1" x14ac:dyDescent="0.2">
      <c r="A7" s="1445"/>
      <c r="B7" s="1416"/>
      <c r="C7" s="1447" t="s">
        <v>687</v>
      </c>
      <c r="D7" s="1447"/>
      <c r="E7" s="1447"/>
      <c r="F7" s="1216" t="s">
        <v>688</v>
      </c>
      <c r="G7" s="1216"/>
      <c r="H7" s="1216"/>
      <c r="I7" s="1216"/>
      <c r="J7" s="1447" t="s">
        <v>689</v>
      </c>
      <c r="K7" s="1447"/>
      <c r="L7" s="1447"/>
      <c r="M7" s="1447"/>
      <c r="N7" s="1447" t="s">
        <v>688</v>
      </c>
      <c r="O7" s="1447"/>
      <c r="P7" s="1452" t="s">
        <v>689</v>
      </c>
      <c r="Q7" s="1452"/>
      <c r="R7" s="1447" t="s">
        <v>688</v>
      </c>
      <c r="S7" s="1447"/>
      <c r="T7" s="1452" t="s">
        <v>689</v>
      </c>
      <c r="U7" s="1452"/>
      <c r="V7" s="1452"/>
      <c r="W7" s="1452"/>
      <c r="X7" s="1452" t="s">
        <v>690</v>
      </c>
      <c r="Y7" s="1452"/>
      <c r="Z7" s="1452"/>
      <c r="AA7" s="1452"/>
      <c r="AB7" s="1293"/>
      <c r="AC7" s="1293"/>
      <c r="AD7" s="1293"/>
      <c r="AE7" s="1293"/>
      <c r="AF7" s="1293"/>
    </row>
    <row r="8" spans="1:33" s="4" customFormat="1" ht="27" customHeight="1" x14ac:dyDescent="0.2">
      <c r="A8" s="1445"/>
      <c r="B8" s="1416"/>
      <c r="C8" s="40">
        <v>42736</v>
      </c>
      <c r="D8" s="40">
        <v>43009</v>
      </c>
      <c r="E8" s="40">
        <v>43100</v>
      </c>
      <c r="F8" s="40">
        <v>42736</v>
      </c>
      <c r="G8" s="40">
        <v>43252</v>
      </c>
      <c r="H8" s="40">
        <v>43374</v>
      </c>
      <c r="I8" s="40">
        <v>43100</v>
      </c>
      <c r="J8" s="40">
        <v>42736</v>
      </c>
      <c r="K8" s="40">
        <v>43221</v>
      </c>
      <c r="L8" s="40">
        <v>43374</v>
      </c>
      <c r="M8" s="40">
        <v>43100</v>
      </c>
      <c r="N8" s="40">
        <v>42736</v>
      </c>
      <c r="O8" s="40">
        <v>43100</v>
      </c>
      <c r="P8" s="40">
        <v>42736</v>
      </c>
      <c r="Q8" s="40">
        <v>43100</v>
      </c>
      <c r="R8" s="40">
        <v>42736</v>
      </c>
      <c r="S8" s="40">
        <v>43100</v>
      </c>
      <c r="T8" s="40">
        <v>42736</v>
      </c>
      <c r="U8" s="40">
        <v>43221</v>
      </c>
      <c r="V8" s="40">
        <v>43009</v>
      </c>
      <c r="W8" s="40">
        <v>43100</v>
      </c>
      <c r="X8" s="40">
        <v>42736</v>
      </c>
      <c r="Y8" s="40">
        <v>43252</v>
      </c>
      <c r="Z8" s="40">
        <v>43374</v>
      </c>
      <c r="AA8" s="40">
        <v>43100</v>
      </c>
      <c r="AB8" s="40">
        <v>42736</v>
      </c>
      <c r="AC8" s="40">
        <v>43221</v>
      </c>
      <c r="AD8" s="40">
        <v>43252</v>
      </c>
      <c r="AE8" s="601">
        <v>43009</v>
      </c>
      <c r="AF8" s="40">
        <v>43100</v>
      </c>
    </row>
    <row r="9" spans="1:33" s="4" customFormat="1" ht="13.9" customHeight="1" x14ac:dyDescent="0.25">
      <c r="A9" s="41"/>
      <c r="B9" s="2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</row>
    <row r="10" spans="1:33" s="4" customFormat="1" ht="13.9" customHeight="1" x14ac:dyDescent="0.25">
      <c r="A10" s="41" t="s">
        <v>494</v>
      </c>
      <c r="B10" s="43" t="s">
        <v>87</v>
      </c>
      <c r="C10" s="701" t="s">
        <v>312</v>
      </c>
      <c r="D10" s="703">
        <v>0</v>
      </c>
      <c r="E10" s="701">
        <f>D10+C10</f>
        <v>4</v>
      </c>
      <c r="F10" s="703" t="s">
        <v>513</v>
      </c>
      <c r="G10" s="703" t="s">
        <v>513</v>
      </c>
      <c r="H10" s="701">
        <v>-2</v>
      </c>
      <c r="I10" s="701">
        <f>H10+G10+F10</f>
        <v>0</v>
      </c>
      <c r="J10" s="44">
        <v>2</v>
      </c>
      <c r="K10" s="44"/>
      <c r="L10" s="44"/>
      <c r="M10" s="44" t="s">
        <v>691</v>
      </c>
      <c r="N10" s="44"/>
      <c r="O10" s="44"/>
      <c r="P10" s="44" t="s">
        <v>584</v>
      </c>
      <c r="Q10" s="44" t="s">
        <v>584</v>
      </c>
      <c r="R10" s="44" t="s">
        <v>584</v>
      </c>
      <c r="S10" s="44" t="s">
        <v>584</v>
      </c>
      <c r="T10" s="701">
        <f>C10+J10</f>
        <v>6</v>
      </c>
      <c r="U10" s="701"/>
      <c r="V10" s="701">
        <v>0</v>
      </c>
      <c r="W10" s="701">
        <f>E10+M10</f>
        <v>6</v>
      </c>
      <c r="X10" s="701">
        <v>1</v>
      </c>
      <c r="Y10" s="701">
        <v>1</v>
      </c>
      <c r="Z10" s="701">
        <v>-2</v>
      </c>
      <c r="AA10" s="701">
        <f>Z10+Y10+X10</f>
        <v>0</v>
      </c>
      <c r="AB10" s="704">
        <f>C10+F10/2+N10/2+R10/2+J10+P10</f>
        <v>6.5</v>
      </c>
      <c r="AC10" s="367"/>
      <c r="AD10" s="367">
        <f>G10/2</f>
        <v>0.5</v>
      </c>
      <c r="AE10" s="367">
        <f>H10/2</f>
        <v>-1</v>
      </c>
      <c r="AF10" s="367">
        <f>AB10+AE10+AD10</f>
        <v>6</v>
      </c>
    </row>
    <row r="11" spans="1:33" s="4" customFormat="1" ht="13.9" customHeight="1" x14ac:dyDescent="0.25">
      <c r="A11" s="41"/>
      <c r="B11" s="28"/>
      <c r="C11" s="45"/>
      <c r="D11" s="45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</row>
    <row r="12" spans="1:33" s="17" customFormat="1" ht="14.45" customHeight="1" x14ac:dyDescent="0.25">
      <c r="A12" s="5" t="s">
        <v>502</v>
      </c>
      <c r="B12" s="46" t="s">
        <v>692</v>
      </c>
      <c r="C12" s="47">
        <v>3</v>
      </c>
      <c r="D12" s="47"/>
      <c r="E12" s="48">
        <f>C12+D12</f>
        <v>3</v>
      </c>
      <c r="F12" s="48"/>
      <c r="G12" s="48"/>
      <c r="H12" s="48"/>
      <c r="I12" s="48"/>
      <c r="J12" s="48">
        <v>36</v>
      </c>
      <c r="K12" s="646">
        <v>2</v>
      </c>
      <c r="L12" s="646">
        <v>-2</v>
      </c>
      <c r="M12" s="48">
        <f>J12</f>
        <v>36</v>
      </c>
      <c r="N12" s="48"/>
      <c r="O12" s="48"/>
      <c r="P12" s="48">
        <v>0</v>
      </c>
      <c r="Q12" s="48">
        <v>0</v>
      </c>
      <c r="R12" s="48">
        <v>0</v>
      </c>
      <c r="S12" s="48">
        <v>0</v>
      </c>
      <c r="T12" s="48">
        <f>C12+J12+P12</f>
        <v>39</v>
      </c>
      <c r="U12" s="48">
        <v>2</v>
      </c>
      <c r="V12" s="602">
        <v>-2</v>
      </c>
      <c r="W12" s="48">
        <f>SUM(T12:V12)</f>
        <v>39</v>
      </c>
      <c r="X12" s="48">
        <v>0</v>
      </c>
      <c r="Y12" s="48"/>
      <c r="Z12" s="48"/>
      <c r="AA12" s="48">
        <v>0</v>
      </c>
      <c r="AB12" s="50">
        <f>T12</f>
        <v>39</v>
      </c>
      <c r="AC12" s="631">
        <v>2</v>
      </c>
      <c r="AD12" s="50"/>
      <c r="AE12" s="631">
        <f>V12</f>
        <v>-2</v>
      </c>
      <c r="AF12" s="50">
        <f>AB12+AC12+AE12</f>
        <v>39</v>
      </c>
    </row>
    <row r="13" spans="1:33" s="17" customFormat="1" ht="14.45" customHeight="1" x14ac:dyDescent="0.25">
      <c r="A13" s="5"/>
    </row>
    <row r="14" spans="1:33" ht="15.75" customHeight="1" x14ac:dyDescent="0.25">
      <c r="A14" s="5"/>
      <c r="B14" s="51"/>
      <c r="C14" s="52"/>
      <c r="D14" s="52"/>
      <c r="E14" s="53"/>
      <c r="F14" s="53"/>
      <c r="G14" s="53"/>
      <c r="H14" s="53"/>
      <c r="I14" s="53"/>
      <c r="J14" s="53"/>
      <c r="K14" s="53"/>
      <c r="L14" s="53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5"/>
      <c r="X14" s="55"/>
      <c r="Y14" s="55"/>
      <c r="Z14" s="55"/>
      <c r="AA14" s="55"/>
      <c r="AB14" s="55"/>
      <c r="AC14" s="55"/>
      <c r="AD14" s="55"/>
      <c r="AE14" s="55"/>
      <c r="AF14" s="55"/>
    </row>
    <row r="15" spans="1:33" s="17" customFormat="1" ht="14.45" customHeight="1" x14ac:dyDescent="0.25">
      <c r="A15" s="5" t="s">
        <v>503</v>
      </c>
      <c r="B15" s="56" t="s">
        <v>693</v>
      </c>
      <c r="C15" s="57"/>
      <c r="D15" s="57"/>
      <c r="E15" s="58"/>
      <c r="F15" s="58"/>
      <c r="G15" s="58"/>
      <c r="H15" s="58"/>
      <c r="I15" s="58"/>
      <c r="J15" s="58"/>
      <c r="K15" s="58"/>
      <c r="L15" s="58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60"/>
      <c r="X15" s="60"/>
      <c r="Y15" s="60"/>
      <c r="Z15" s="60"/>
      <c r="AA15" s="60"/>
      <c r="AB15" s="60"/>
      <c r="AC15" s="60"/>
      <c r="AD15" s="60"/>
      <c r="AE15" s="60"/>
      <c r="AF15" s="60"/>
    </row>
    <row r="16" spans="1:33" s="17" customFormat="1" ht="14.45" customHeight="1" x14ac:dyDescent="0.25">
      <c r="A16" s="5" t="s">
        <v>504</v>
      </c>
      <c r="B16" s="61" t="s">
        <v>694</v>
      </c>
      <c r="C16" s="625"/>
      <c r="D16" s="62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45">
        <v>22.5</v>
      </c>
      <c r="Q16" s="646">
        <f t="shared" ref="Q16:Q23" si="0">P16</f>
        <v>22.5</v>
      </c>
      <c r="R16" s="645"/>
      <c r="S16" s="645"/>
      <c r="T16" s="646">
        <f t="shared" ref="T16:T24" si="1">C16+J16+P16</f>
        <v>22.5</v>
      </c>
      <c r="U16" s="646"/>
      <c r="V16" s="646"/>
      <c r="W16" s="646">
        <f t="shared" ref="W16:W23" si="2">E16+M16+Q16</f>
        <v>22.5</v>
      </c>
      <c r="X16" s="646"/>
      <c r="Y16" s="646"/>
      <c r="Z16" s="646"/>
      <c r="AA16" s="646"/>
      <c r="AB16" s="646">
        <f t="shared" ref="AB16:AB21" si="3">T16+X16/2</f>
        <v>22.5</v>
      </c>
      <c r="AC16" s="646"/>
      <c r="AD16" s="646"/>
      <c r="AE16" s="646"/>
      <c r="AF16" s="646">
        <f t="shared" ref="AF16:AF23" si="4">W16+AA16/2</f>
        <v>22.5</v>
      </c>
      <c r="AG16" s="626"/>
    </row>
    <row r="17" spans="1:33" s="17" customFormat="1" ht="14.45" customHeight="1" x14ac:dyDescent="0.25">
      <c r="A17" s="5" t="s">
        <v>505</v>
      </c>
      <c r="B17" s="61" t="s">
        <v>984</v>
      </c>
      <c r="C17" s="62"/>
      <c r="D17" s="62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>
        <v>20</v>
      </c>
      <c r="Q17" s="48">
        <f t="shared" si="0"/>
        <v>20</v>
      </c>
      <c r="R17" s="63"/>
      <c r="S17" s="63"/>
      <c r="T17" s="48">
        <f t="shared" si="1"/>
        <v>20</v>
      </c>
      <c r="U17" s="48"/>
      <c r="V17" s="48"/>
      <c r="W17" s="48">
        <f t="shared" si="2"/>
        <v>20</v>
      </c>
      <c r="X17" s="48"/>
      <c r="Y17" s="48"/>
      <c r="Z17" s="48"/>
      <c r="AA17" s="48"/>
      <c r="AB17" s="48">
        <f t="shared" si="3"/>
        <v>20</v>
      </c>
      <c r="AC17" s="48"/>
      <c r="AD17" s="48"/>
      <c r="AE17" s="48"/>
      <c r="AF17" s="48">
        <f t="shared" si="4"/>
        <v>20</v>
      </c>
    </row>
    <row r="18" spans="1:33" s="17" customFormat="1" ht="14.45" customHeight="1" x14ac:dyDescent="0.25">
      <c r="A18" s="5" t="s">
        <v>506</v>
      </c>
      <c r="B18" s="61" t="s">
        <v>985</v>
      </c>
      <c r="C18" s="62"/>
      <c r="D18" s="62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>
        <v>9</v>
      </c>
      <c r="Q18" s="48">
        <f t="shared" si="0"/>
        <v>9</v>
      </c>
      <c r="R18" s="63"/>
      <c r="S18" s="63"/>
      <c r="T18" s="48">
        <f t="shared" si="1"/>
        <v>9</v>
      </c>
      <c r="U18" s="48"/>
      <c r="V18" s="48"/>
      <c r="W18" s="48">
        <f t="shared" si="2"/>
        <v>9</v>
      </c>
      <c r="X18" s="48"/>
      <c r="Y18" s="48"/>
      <c r="Z18" s="48"/>
      <c r="AA18" s="48"/>
      <c r="AB18" s="48">
        <f t="shared" si="3"/>
        <v>9</v>
      </c>
      <c r="AC18" s="48"/>
      <c r="AD18" s="48"/>
      <c r="AE18" s="48"/>
      <c r="AF18" s="48">
        <f t="shared" si="4"/>
        <v>9</v>
      </c>
    </row>
    <row r="19" spans="1:33" s="17" customFormat="1" ht="14.45" customHeight="1" x14ac:dyDescent="0.25">
      <c r="A19" s="5" t="s">
        <v>507</v>
      </c>
      <c r="B19" s="61" t="s">
        <v>986</v>
      </c>
      <c r="C19" s="62"/>
      <c r="D19" s="62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>
        <v>11</v>
      </c>
      <c r="Q19" s="48">
        <f t="shared" si="0"/>
        <v>11</v>
      </c>
      <c r="R19" s="63"/>
      <c r="S19" s="63"/>
      <c r="T19" s="48">
        <f t="shared" si="1"/>
        <v>11</v>
      </c>
      <c r="U19" s="48"/>
      <c r="V19" s="48"/>
      <c r="W19" s="48">
        <f t="shared" si="2"/>
        <v>11</v>
      </c>
      <c r="X19" s="48"/>
      <c r="Y19" s="48"/>
      <c r="Z19" s="48"/>
      <c r="AA19" s="48"/>
      <c r="AB19" s="48">
        <f t="shared" si="3"/>
        <v>11</v>
      </c>
      <c r="AC19" s="48"/>
      <c r="AD19" s="48"/>
      <c r="AE19" s="48"/>
      <c r="AF19" s="48">
        <f t="shared" si="4"/>
        <v>11</v>
      </c>
    </row>
    <row r="20" spans="1:33" s="17" customFormat="1" ht="14.45" customHeight="1" x14ac:dyDescent="0.25">
      <c r="A20" s="5" t="s">
        <v>508</v>
      </c>
      <c r="B20" s="61" t="s">
        <v>695</v>
      </c>
      <c r="C20" s="62"/>
      <c r="D20" s="62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>
        <v>1</v>
      </c>
      <c r="Q20" s="48">
        <f t="shared" si="0"/>
        <v>1</v>
      </c>
      <c r="R20" s="63"/>
      <c r="S20" s="63"/>
      <c r="T20" s="48">
        <f t="shared" si="1"/>
        <v>1</v>
      </c>
      <c r="U20" s="48"/>
      <c r="V20" s="48"/>
      <c r="W20" s="48">
        <f t="shared" si="2"/>
        <v>1</v>
      </c>
      <c r="X20" s="48"/>
      <c r="Y20" s="48"/>
      <c r="Z20" s="48"/>
      <c r="AA20" s="48"/>
      <c r="AB20" s="48">
        <f t="shared" si="3"/>
        <v>1</v>
      </c>
      <c r="AC20" s="48"/>
      <c r="AD20" s="48"/>
      <c r="AE20" s="48"/>
      <c r="AF20" s="48">
        <f t="shared" si="4"/>
        <v>1</v>
      </c>
    </row>
    <row r="21" spans="1:33" s="17" customFormat="1" ht="14.45" customHeight="1" x14ac:dyDescent="0.25">
      <c r="A21" s="5" t="s">
        <v>509</v>
      </c>
      <c r="B21" s="61" t="s">
        <v>696</v>
      </c>
      <c r="C21" s="62"/>
      <c r="D21" s="62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>
        <v>5</v>
      </c>
      <c r="Q21" s="48">
        <f t="shared" si="0"/>
        <v>5</v>
      </c>
      <c r="R21" s="63"/>
      <c r="S21" s="63"/>
      <c r="T21" s="48">
        <f t="shared" si="1"/>
        <v>5</v>
      </c>
      <c r="U21" s="48"/>
      <c r="V21" s="48"/>
      <c r="W21" s="48">
        <f t="shared" si="2"/>
        <v>5</v>
      </c>
      <c r="X21" s="48"/>
      <c r="Y21" s="48"/>
      <c r="Z21" s="48"/>
      <c r="AA21" s="48"/>
      <c r="AB21" s="48">
        <f t="shared" si="3"/>
        <v>5</v>
      </c>
      <c r="AC21" s="48"/>
      <c r="AD21" s="48"/>
      <c r="AE21" s="48"/>
      <c r="AF21" s="48">
        <f t="shared" si="4"/>
        <v>5</v>
      </c>
    </row>
    <row r="22" spans="1:33" s="17" customFormat="1" ht="14.45" customHeight="1" x14ac:dyDescent="0.25">
      <c r="A22" s="5" t="s">
        <v>552</v>
      </c>
      <c r="B22" s="61" t="s">
        <v>966</v>
      </c>
      <c r="C22" s="62"/>
      <c r="D22" s="62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>
        <v>3</v>
      </c>
      <c r="Q22" s="48">
        <f t="shared" si="0"/>
        <v>3</v>
      </c>
      <c r="R22" s="63"/>
      <c r="S22" s="63"/>
      <c r="T22" s="48">
        <f t="shared" si="1"/>
        <v>3</v>
      </c>
      <c r="U22" s="48"/>
      <c r="V22" s="48"/>
      <c r="W22" s="48">
        <f t="shared" si="2"/>
        <v>3</v>
      </c>
      <c r="X22" s="48"/>
      <c r="Y22" s="48"/>
      <c r="Z22" s="48"/>
      <c r="AA22" s="48"/>
      <c r="AB22" s="48">
        <v>3</v>
      </c>
      <c r="AC22" s="48"/>
      <c r="AD22" s="48"/>
      <c r="AE22" s="48"/>
      <c r="AF22" s="48">
        <f t="shared" si="4"/>
        <v>3</v>
      </c>
    </row>
    <row r="23" spans="1:33" s="17" customFormat="1" ht="14.45" customHeight="1" x14ac:dyDescent="0.25">
      <c r="A23" s="5" t="s">
        <v>553</v>
      </c>
      <c r="B23" s="61" t="s">
        <v>698</v>
      </c>
      <c r="C23" s="62"/>
      <c r="D23" s="62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>
        <v>4</v>
      </c>
      <c r="Q23" s="48">
        <f t="shared" si="0"/>
        <v>4</v>
      </c>
      <c r="R23" s="63"/>
      <c r="S23" s="63"/>
      <c r="T23" s="48">
        <f t="shared" si="1"/>
        <v>4</v>
      </c>
      <c r="U23" s="48"/>
      <c r="V23" s="48"/>
      <c r="W23" s="48">
        <f t="shared" si="2"/>
        <v>4</v>
      </c>
      <c r="X23" s="48"/>
      <c r="Y23" s="48"/>
      <c r="Z23" s="48"/>
      <c r="AA23" s="48"/>
      <c r="AB23" s="48">
        <f>T23+X23/2</f>
        <v>4</v>
      </c>
      <c r="AC23" s="48"/>
      <c r="AD23" s="48"/>
      <c r="AE23" s="48"/>
      <c r="AF23" s="48">
        <f t="shared" si="4"/>
        <v>4</v>
      </c>
    </row>
    <row r="24" spans="1:33" s="17" customFormat="1" ht="14.45" customHeight="1" x14ac:dyDescent="0.25">
      <c r="A24" s="5" t="s">
        <v>554</v>
      </c>
      <c r="B24" s="46" t="s">
        <v>699</v>
      </c>
      <c r="C24" s="47"/>
      <c r="D24" s="47"/>
      <c r="E24" s="64"/>
      <c r="F24" s="64"/>
      <c r="G24" s="64"/>
      <c r="H24" s="64"/>
      <c r="I24" s="64"/>
      <c r="J24" s="64"/>
      <c r="K24" s="64"/>
      <c r="L24" s="64"/>
      <c r="M24" s="63"/>
      <c r="N24" s="63"/>
      <c r="O24" s="63"/>
      <c r="P24" s="48">
        <f>SUM(P16:P23)</f>
        <v>75.5</v>
      </c>
      <c r="Q24" s="48">
        <f>SUM(Q16:Q23)</f>
        <v>75.5</v>
      </c>
      <c r="R24" s="48">
        <v>0</v>
      </c>
      <c r="S24" s="48">
        <v>0</v>
      </c>
      <c r="T24" s="48">
        <f t="shared" si="1"/>
        <v>75.5</v>
      </c>
      <c r="U24" s="48"/>
      <c r="V24" s="48"/>
      <c r="W24" s="48">
        <f>SUM(W16:W23)</f>
        <v>75.5</v>
      </c>
      <c r="X24" s="48">
        <v>0</v>
      </c>
      <c r="Y24" s="48"/>
      <c r="Z24" s="48"/>
      <c r="AA24" s="48">
        <v>0</v>
      </c>
      <c r="AB24" s="191">
        <f>T24+X24/2</f>
        <v>75.5</v>
      </c>
      <c r="AC24" s="191"/>
      <c r="AD24" s="191"/>
      <c r="AE24" s="602">
        <v>0</v>
      </c>
      <c r="AF24" s="48">
        <f>SUM(AF16:AF23)</f>
        <v>75.5</v>
      </c>
      <c r="AG24" s="589"/>
    </row>
    <row r="25" spans="1:33" s="17" customFormat="1" ht="13.5" customHeight="1" x14ac:dyDescent="0.25">
      <c r="A25" s="5"/>
      <c r="B25" s="103"/>
      <c r="C25" s="104"/>
      <c r="D25" s="104"/>
      <c r="E25" s="105"/>
      <c r="F25" s="105"/>
      <c r="G25" s="105"/>
      <c r="H25" s="105"/>
      <c r="I25" s="105"/>
      <c r="J25" s="105"/>
      <c r="K25" s="105"/>
      <c r="L25" s="105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</row>
    <row r="26" spans="1:33" ht="12.75" customHeight="1" x14ac:dyDescent="0.25">
      <c r="A26" s="5"/>
      <c r="B26" s="51"/>
      <c r="C26" s="52"/>
      <c r="D26" s="52"/>
      <c r="E26" s="53"/>
      <c r="F26" s="53"/>
      <c r="G26" s="53"/>
      <c r="H26" s="53"/>
      <c r="I26" s="53"/>
      <c r="J26" s="53"/>
      <c r="K26" s="53"/>
      <c r="L26" s="53"/>
      <c r="M26" s="71"/>
      <c r="N26" s="71"/>
      <c r="O26" s="71"/>
      <c r="P26" s="71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</row>
    <row r="27" spans="1:33" s="17" customFormat="1" ht="27" customHeight="1" x14ac:dyDescent="0.25">
      <c r="A27" s="5" t="s">
        <v>555</v>
      </c>
      <c r="B27" s="56" t="s">
        <v>700</v>
      </c>
      <c r="C27" s="57"/>
      <c r="D27" s="57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8"/>
    </row>
    <row r="28" spans="1:33" s="17" customFormat="1" ht="14.45" customHeight="1" x14ac:dyDescent="0.25">
      <c r="A28" s="5" t="s">
        <v>556</v>
      </c>
      <c r="B28" s="61" t="s">
        <v>617</v>
      </c>
      <c r="C28" s="62"/>
      <c r="D28" s="62"/>
      <c r="E28" s="63"/>
      <c r="F28" s="63"/>
      <c r="G28" s="63"/>
      <c r="H28" s="63"/>
      <c r="I28" s="63"/>
      <c r="J28" s="63"/>
      <c r="K28" s="63"/>
      <c r="L28" s="63"/>
      <c r="M28" s="48"/>
      <c r="N28" s="48"/>
      <c r="O28" s="48"/>
      <c r="P28" s="63">
        <v>7</v>
      </c>
      <c r="Q28" s="48">
        <f t="shared" ref="Q28:Q38" si="5">P28</f>
        <v>7</v>
      </c>
      <c r="R28" s="63"/>
      <c r="S28" s="63"/>
      <c r="T28" s="48">
        <f>C28+J28+P28</f>
        <v>7</v>
      </c>
      <c r="U28" s="48"/>
      <c r="V28" s="48"/>
      <c r="W28" s="48">
        <f t="shared" ref="W28:W40" si="6">E28+M28+Q28</f>
        <v>7</v>
      </c>
      <c r="X28" s="48"/>
      <c r="Y28" s="48"/>
      <c r="Z28" s="48"/>
      <c r="AA28" s="48"/>
      <c r="AB28" s="48">
        <f t="shared" ref="AB28:AB40" si="7">C28+J28+P28+R28/2</f>
        <v>7</v>
      </c>
      <c r="AC28" s="48"/>
      <c r="AD28" s="48"/>
      <c r="AE28" s="63"/>
      <c r="AF28" s="48">
        <f t="shared" ref="AF28:AF40" si="8">E28+M28+Q28+S28/2</f>
        <v>7</v>
      </c>
      <c r="AG28" s="26"/>
    </row>
    <row r="29" spans="1:33" s="17" customFormat="1" ht="14.45" customHeight="1" x14ac:dyDescent="0.25">
      <c r="A29" s="5" t="s">
        <v>557</v>
      </c>
      <c r="B29" s="61" t="s">
        <v>701</v>
      </c>
      <c r="C29" s="62"/>
      <c r="D29" s="62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>
        <v>1</v>
      </c>
      <c r="Q29" s="48">
        <f t="shared" si="5"/>
        <v>1</v>
      </c>
      <c r="R29" s="63"/>
      <c r="S29" s="63"/>
      <c r="T29" s="48">
        <f>C29+J29+P29</f>
        <v>1</v>
      </c>
      <c r="U29" s="48"/>
      <c r="V29" s="48"/>
      <c r="W29" s="48">
        <f t="shared" si="6"/>
        <v>1</v>
      </c>
      <c r="X29" s="48"/>
      <c r="Y29" s="48"/>
      <c r="Z29" s="48"/>
      <c r="AA29" s="48"/>
      <c r="AB29" s="48">
        <f t="shared" si="7"/>
        <v>1</v>
      </c>
      <c r="AC29" s="48"/>
      <c r="AD29" s="48"/>
      <c r="AE29" s="63"/>
      <c r="AF29" s="48">
        <f t="shared" si="8"/>
        <v>1</v>
      </c>
      <c r="AG29" s="26"/>
    </row>
    <row r="30" spans="1:33" s="17" customFormat="1" ht="28.5" customHeight="1" x14ac:dyDescent="0.25">
      <c r="A30" s="5" t="s">
        <v>558</v>
      </c>
      <c r="B30" s="61" t="s">
        <v>1063</v>
      </c>
      <c r="C30" s="62"/>
      <c r="D30" s="62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>
        <v>31</v>
      </c>
      <c r="Q30" s="48">
        <f t="shared" si="5"/>
        <v>31</v>
      </c>
      <c r="R30" s="63">
        <v>1</v>
      </c>
      <c r="S30" s="63">
        <v>1</v>
      </c>
      <c r="T30" s="48">
        <v>31</v>
      </c>
      <c r="U30" s="48"/>
      <c r="V30" s="48"/>
      <c r="W30" s="48">
        <f t="shared" si="6"/>
        <v>31</v>
      </c>
      <c r="X30" s="646">
        <f>R30+N30+F30</f>
        <v>1</v>
      </c>
      <c r="Y30" s="646"/>
      <c r="Z30" s="646"/>
      <c r="AA30" s="646">
        <f>I30+O30+S30</f>
        <v>1</v>
      </c>
      <c r="AB30" s="646">
        <f t="shared" si="7"/>
        <v>31.5</v>
      </c>
      <c r="AC30" s="646"/>
      <c r="AD30" s="646"/>
      <c r="AE30" s="645"/>
      <c r="AF30" s="646">
        <f t="shared" si="8"/>
        <v>31.5</v>
      </c>
      <c r="AG30" s="26"/>
    </row>
    <row r="31" spans="1:33" s="17" customFormat="1" ht="14.45" customHeight="1" x14ac:dyDescent="0.25">
      <c r="A31" s="5" t="s">
        <v>560</v>
      </c>
      <c r="B31" s="61" t="s">
        <v>702</v>
      </c>
      <c r="C31" s="62"/>
      <c r="D31" s="62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>
        <v>2</v>
      </c>
      <c r="Q31" s="48">
        <f t="shared" si="5"/>
        <v>2</v>
      </c>
      <c r="R31" s="63"/>
      <c r="S31" s="63"/>
      <c r="T31" s="48">
        <f>C31+J31+P31</f>
        <v>2</v>
      </c>
      <c r="U31" s="48"/>
      <c r="V31" s="48"/>
      <c r="W31" s="48">
        <f t="shared" si="6"/>
        <v>2</v>
      </c>
      <c r="X31" s="48"/>
      <c r="Y31" s="48"/>
      <c r="Z31" s="48"/>
      <c r="AA31" s="48"/>
      <c r="AB31" s="48">
        <f t="shared" si="7"/>
        <v>2</v>
      </c>
      <c r="AC31" s="48"/>
      <c r="AD31" s="48"/>
      <c r="AE31" s="63"/>
      <c r="AF31" s="48">
        <f t="shared" si="8"/>
        <v>2</v>
      </c>
      <c r="AG31" s="26"/>
    </row>
    <row r="32" spans="1:33" s="17" customFormat="1" ht="14.45" customHeight="1" x14ac:dyDescent="0.25">
      <c r="A32" s="5" t="s">
        <v>561</v>
      </c>
      <c r="B32" s="61" t="s">
        <v>717</v>
      </c>
      <c r="C32" s="62"/>
      <c r="D32" s="62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>
        <v>2</v>
      </c>
      <c r="Q32" s="48">
        <f t="shared" si="5"/>
        <v>2</v>
      </c>
      <c r="R32" s="63"/>
      <c r="S32" s="63"/>
      <c r="T32" s="48">
        <f>C32+J32+P32</f>
        <v>2</v>
      </c>
      <c r="U32" s="48"/>
      <c r="V32" s="48"/>
      <c r="W32" s="48">
        <f t="shared" si="6"/>
        <v>2</v>
      </c>
      <c r="X32" s="48"/>
      <c r="Y32" s="48"/>
      <c r="Z32" s="48"/>
      <c r="AA32" s="48"/>
      <c r="AB32" s="48">
        <f t="shared" si="7"/>
        <v>2</v>
      </c>
      <c r="AC32" s="48"/>
      <c r="AD32" s="48"/>
      <c r="AE32" s="48"/>
      <c r="AF32" s="48">
        <f t="shared" si="8"/>
        <v>2</v>
      </c>
      <c r="AG32" s="26"/>
    </row>
    <row r="33" spans="1:35" s="17" customFormat="1" ht="14.45" customHeight="1" x14ac:dyDescent="0.25">
      <c r="A33" s="5" t="s">
        <v>562</v>
      </c>
      <c r="B33" s="61" t="s">
        <v>703</v>
      </c>
      <c r="C33" s="62"/>
      <c r="D33" s="62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>
        <v>2</v>
      </c>
      <c r="Q33" s="48">
        <f t="shared" si="5"/>
        <v>2</v>
      </c>
      <c r="R33" s="63"/>
      <c r="S33" s="63"/>
      <c r="T33" s="48">
        <v>2</v>
      </c>
      <c r="U33" s="48"/>
      <c r="V33" s="48"/>
      <c r="W33" s="48">
        <f t="shared" si="6"/>
        <v>2</v>
      </c>
      <c r="X33" s="48"/>
      <c r="Y33" s="48"/>
      <c r="Z33" s="48"/>
      <c r="AA33" s="48"/>
      <c r="AB33" s="48">
        <f t="shared" si="7"/>
        <v>2</v>
      </c>
      <c r="AC33" s="48"/>
      <c r="AD33" s="48"/>
      <c r="AE33" s="63"/>
      <c r="AF33" s="48">
        <f t="shared" si="8"/>
        <v>2</v>
      </c>
      <c r="AG33" s="26"/>
      <c r="AI33" s="422"/>
    </row>
    <row r="34" spans="1:35" s="17" customFormat="1" ht="14.45" customHeight="1" x14ac:dyDescent="0.25">
      <c r="A34" s="5" t="s">
        <v>563</v>
      </c>
      <c r="B34" s="61" t="s">
        <v>704</v>
      </c>
      <c r="C34" s="62"/>
      <c r="D34" s="62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>
        <v>5</v>
      </c>
      <c r="Q34" s="48">
        <f t="shared" si="5"/>
        <v>5</v>
      </c>
      <c r="R34" s="63"/>
      <c r="S34" s="63"/>
      <c r="T34" s="48">
        <f>P34+R34</f>
        <v>5</v>
      </c>
      <c r="U34" s="48"/>
      <c r="V34" s="48"/>
      <c r="W34" s="48">
        <f t="shared" si="6"/>
        <v>5</v>
      </c>
      <c r="X34" s="48"/>
      <c r="Y34" s="48"/>
      <c r="Z34" s="48"/>
      <c r="AA34" s="48"/>
      <c r="AB34" s="48">
        <f t="shared" si="7"/>
        <v>5</v>
      </c>
      <c r="AC34" s="48"/>
      <c r="AD34" s="48"/>
      <c r="AE34" s="63"/>
      <c r="AF34" s="48">
        <f t="shared" si="8"/>
        <v>5</v>
      </c>
      <c r="AG34" s="26"/>
    </row>
    <row r="35" spans="1:35" s="17" customFormat="1" ht="14.45" customHeight="1" x14ac:dyDescent="0.25">
      <c r="A35" s="5" t="s">
        <v>564</v>
      </c>
      <c r="B35" s="61" t="s">
        <v>697</v>
      </c>
      <c r="C35" s="62"/>
      <c r="D35" s="62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>
        <v>4</v>
      </c>
      <c r="Q35" s="48">
        <f t="shared" si="5"/>
        <v>4</v>
      </c>
      <c r="R35" s="63"/>
      <c r="S35" s="63"/>
      <c r="T35" s="48">
        <v>4</v>
      </c>
      <c r="U35" s="48"/>
      <c r="V35" s="48"/>
      <c r="W35" s="48">
        <f t="shared" si="6"/>
        <v>4</v>
      </c>
      <c r="X35" s="48"/>
      <c r="Y35" s="48"/>
      <c r="Z35" s="48"/>
      <c r="AA35" s="48"/>
      <c r="AB35" s="48">
        <f t="shared" si="7"/>
        <v>4</v>
      </c>
      <c r="AC35" s="48"/>
      <c r="AD35" s="48"/>
      <c r="AE35" s="63"/>
      <c r="AF35" s="48">
        <f t="shared" si="8"/>
        <v>4</v>
      </c>
    </row>
    <row r="36" spans="1:35" s="17" customFormat="1" ht="14.45" customHeight="1" x14ac:dyDescent="0.25">
      <c r="A36" s="5" t="s">
        <v>565</v>
      </c>
      <c r="B36" s="61" t="s">
        <v>533</v>
      </c>
      <c r="C36" s="62"/>
      <c r="D36" s="62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>
        <v>1</v>
      </c>
      <c r="Q36" s="48">
        <f t="shared" si="5"/>
        <v>1</v>
      </c>
      <c r="R36" s="63"/>
      <c r="S36" s="63"/>
      <c r="T36" s="48">
        <v>1</v>
      </c>
      <c r="U36" s="48"/>
      <c r="V36" s="48"/>
      <c r="W36" s="48">
        <f t="shared" si="6"/>
        <v>1</v>
      </c>
      <c r="X36" s="48"/>
      <c r="Y36" s="48"/>
      <c r="Z36" s="48"/>
      <c r="AA36" s="48"/>
      <c r="AB36" s="48">
        <f t="shared" si="7"/>
        <v>1</v>
      </c>
      <c r="AC36" s="48"/>
      <c r="AD36" s="48"/>
      <c r="AE36" s="63"/>
      <c r="AF36" s="48">
        <f t="shared" si="8"/>
        <v>1</v>
      </c>
    </row>
    <row r="37" spans="1:35" s="17" customFormat="1" ht="14.45" customHeight="1" x14ac:dyDescent="0.25">
      <c r="A37" s="5" t="s">
        <v>566</v>
      </c>
      <c r="B37" s="61" t="s">
        <v>534</v>
      </c>
      <c r="C37" s="62"/>
      <c r="D37" s="62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>
        <v>4</v>
      </c>
      <c r="Q37" s="48">
        <f t="shared" si="5"/>
        <v>4</v>
      </c>
      <c r="R37" s="63"/>
      <c r="S37" s="63"/>
      <c r="T37" s="48">
        <v>4</v>
      </c>
      <c r="U37" s="48"/>
      <c r="V37" s="48"/>
      <c r="W37" s="48">
        <f t="shared" si="6"/>
        <v>4</v>
      </c>
      <c r="X37" s="48"/>
      <c r="Y37" s="48"/>
      <c r="Z37" s="48"/>
      <c r="AA37" s="48"/>
      <c r="AB37" s="48">
        <f t="shared" si="7"/>
        <v>4</v>
      </c>
      <c r="AC37" s="48"/>
      <c r="AD37" s="48"/>
      <c r="AE37" s="63"/>
      <c r="AF37" s="48">
        <f t="shared" si="8"/>
        <v>4</v>
      </c>
    </row>
    <row r="38" spans="1:35" s="17" customFormat="1" ht="14.25" customHeight="1" x14ac:dyDescent="0.25">
      <c r="A38" s="5" t="s">
        <v>567</v>
      </c>
      <c r="B38" s="61" t="s">
        <v>535</v>
      </c>
      <c r="C38" s="62"/>
      <c r="D38" s="62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>
        <v>4</v>
      </c>
      <c r="Q38" s="48">
        <f t="shared" si="5"/>
        <v>4</v>
      </c>
      <c r="R38" s="63"/>
      <c r="S38" s="63"/>
      <c r="T38" s="48">
        <v>4</v>
      </c>
      <c r="U38" s="48"/>
      <c r="V38" s="48"/>
      <c r="W38" s="48">
        <f t="shared" si="6"/>
        <v>4</v>
      </c>
      <c r="X38" s="48"/>
      <c r="Y38" s="48"/>
      <c r="Z38" s="48"/>
      <c r="AA38" s="48"/>
      <c r="AB38" s="48">
        <f t="shared" si="7"/>
        <v>4</v>
      </c>
      <c r="AC38" s="48"/>
      <c r="AD38" s="48"/>
      <c r="AE38" s="63"/>
      <c r="AF38" s="48">
        <f t="shared" si="8"/>
        <v>4</v>
      </c>
    </row>
    <row r="39" spans="1:35" s="17" customFormat="1" ht="14.25" customHeight="1" x14ac:dyDescent="0.25">
      <c r="A39" s="5" t="s">
        <v>587</v>
      </c>
      <c r="B39" s="61" t="s">
        <v>994</v>
      </c>
      <c r="C39" s="62"/>
      <c r="D39" s="62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>
        <v>1</v>
      </c>
      <c r="Q39" s="48">
        <f>SUM(P39:P39)</f>
        <v>1</v>
      </c>
      <c r="R39" s="63"/>
      <c r="S39" s="63"/>
      <c r="T39" s="48">
        <f>P39</f>
        <v>1</v>
      </c>
      <c r="U39" s="48"/>
      <c r="V39" s="48"/>
      <c r="W39" s="48">
        <f t="shared" si="6"/>
        <v>1</v>
      </c>
      <c r="X39" s="48"/>
      <c r="Y39" s="48"/>
      <c r="Z39" s="48"/>
      <c r="AA39" s="48"/>
      <c r="AB39" s="48">
        <f t="shared" si="7"/>
        <v>1</v>
      </c>
      <c r="AC39" s="48"/>
      <c r="AD39" s="48"/>
      <c r="AE39" s="63"/>
      <c r="AF39" s="48">
        <f t="shared" si="8"/>
        <v>1</v>
      </c>
    </row>
    <row r="40" spans="1:35" s="17" customFormat="1" ht="14.25" customHeight="1" x14ac:dyDescent="0.25">
      <c r="A40" s="5" t="s">
        <v>588</v>
      </c>
      <c r="B40" s="46" t="s">
        <v>705</v>
      </c>
      <c r="C40" s="47"/>
      <c r="D40" s="47"/>
      <c r="E40" s="64"/>
      <c r="F40" s="64"/>
      <c r="G40" s="64"/>
      <c r="H40" s="64"/>
      <c r="I40" s="64"/>
      <c r="J40" s="64"/>
      <c r="K40" s="64"/>
      <c r="L40" s="64"/>
      <c r="M40" s="48"/>
      <c r="N40" s="48"/>
      <c r="O40" s="48"/>
      <c r="P40" s="48">
        <f>SUM(P28:P39)</f>
        <v>64</v>
      </c>
      <c r="Q40" s="48">
        <f>SUM(Q28:Q39)</f>
        <v>64</v>
      </c>
      <c r="R40" s="48">
        <f>SUM(R28:R38)</f>
        <v>1</v>
      </c>
      <c r="S40" s="48">
        <f>SUM(S28:S38)</f>
        <v>1</v>
      </c>
      <c r="T40" s="48">
        <f>SUM(T28:T39)</f>
        <v>64</v>
      </c>
      <c r="U40" s="48"/>
      <c r="V40" s="48"/>
      <c r="W40" s="48">
        <f t="shared" si="6"/>
        <v>64</v>
      </c>
      <c r="X40" s="48">
        <f>R40+N40+F40</f>
        <v>1</v>
      </c>
      <c r="Y40" s="48"/>
      <c r="Z40" s="48"/>
      <c r="AA40" s="48">
        <f>I40+O40+S40</f>
        <v>1</v>
      </c>
      <c r="AB40" s="191">
        <f t="shared" si="7"/>
        <v>64.5</v>
      </c>
      <c r="AC40" s="191"/>
      <c r="AD40" s="191"/>
      <c r="AE40" s="48">
        <v>0</v>
      </c>
      <c r="AF40" s="48">
        <f t="shared" si="8"/>
        <v>64.5</v>
      </c>
    </row>
    <row r="41" spans="1:35" ht="12.75" hidden="1" customHeight="1" x14ac:dyDescent="0.25">
      <c r="A41" s="5" t="s">
        <v>589</v>
      </c>
      <c r="B41" s="65"/>
      <c r="C41" s="66"/>
      <c r="D41" s="66"/>
      <c r="E41" s="67"/>
      <c r="F41" s="67"/>
      <c r="G41" s="67"/>
      <c r="H41" s="67"/>
      <c r="I41" s="67"/>
      <c r="J41" s="67"/>
      <c r="K41" s="67"/>
      <c r="L41" s="67"/>
      <c r="M41" s="68"/>
      <c r="N41" s="68"/>
      <c r="O41" s="68"/>
      <c r="P41" s="68"/>
      <c r="Q41" s="48">
        <f>P41</f>
        <v>0</v>
      </c>
      <c r="R41" s="68">
        <f>SUM(R28:R40)</f>
        <v>2</v>
      </c>
      <c r="S41" s="68"/>
      <c r="T41" s="68"/>
      <c r="U41" s="68"/>
      <c r="V41" s="68"/>
      <c r="W41" s="68"/>
      <c r="X41" s="54"/>
      <c r="Y41" s="54"/>
      <c r="Z41" s="54"/>
      <c r="AA41" s="54"/>
      <c r="AB41" s="54"/>
      <c r="AC41" s="54"/>
      <c r="AD41" s="54"/>
      <c r="AE41" s="54"/>
      <c r="AF41" s="423"/>
      <c r="AG41" s="366"/>
    </row>
    <row r="42" spans="1:35" s="29" customFormat="1" ht="14.25" hidden="1" customHeight="1" x14ac:dyDescent="0.25">
      <c r="A42" s="5" t="s">
        <v>590</v>
      </c>
      <c r="B42" s="56"/>
      <c r="C42" s="70"/>
      <c r="D42" s="70"/>
      <c r="E42" s="54"/>
      <c r="F42" s="54"/>
      <c r="G42" s="54"/>
      <c r="H42" s="54"/>
      <c r="I42" s="54"/>
      <c r="J42" s="54"/>
      <c r="K42" s="54"/>
      <c r="L42" s="54"/>
      <c r="M42" s="71"/>
      <c r="N42" s="71"/>
      <c r="O42" s="71"/>
      <c r="P42" s="71"/>
      <c r="Q42" s="54"/>
      <c r="R42" s="54"/>
      <c r="S42" s="54"/>
      <c r="T42" s="54"/>
      <c r="U42" s="54"/>
      <c r="V42" s="54"/>
      <c r="W42" s="71"/>
      <c r="X42" s="71"/>
      <c r="Y42" s="71"/>
      <c r="Z42" s="71"/>
      <c r="AA42" s="54"/>
      <c r="AB42" s="54"/>
      <c r="AC42" s="54"/>
      <c r="AD42" s="54"/>
      <c r="AE42" s="54"/>
      <c r="AF42" s="54"/>
    </row>
    <row r="43" spans="1:35" s="29" customFormat="1" ht="14.45" hidden="1" customHeight="1" x14ac:dyDescent="0.25">
      <c r="A43" s="5" t="s">
        <v>591</v>
      </c>
      <c r="B43" s="72"/>
      <c r="C43" s="73"/>
      <c r="D43" s="73"/>
      <c r="E43" s="48"/>
      <c r="F43" s="48"/>
      <c r="G43" s="48"/>
      <c r="H43" s="48"/>
      <c r="I43" s="48"/>
      <c r="J43" s="48"/>
      <c r="K43" s="48"/>
      <c r="L43" s="48"/>
      <c r="M43" s="63"/>
      <c r="N43" s="63"/>
      <c r="O43" s="63"/>
      <c r="P43" s="63"/>
      <c r="Q43" s="48"/>
      <c r="R43" s="48"/>
      <c r="S43" s="48"/>
      <c r="T43" s="48"/>
      <c r="U43" s="48"/>
      <c r="V43" s="48"/>
      <c r="W43" s="63"/>
      <c r="X43" s="63"/>
      <c r="Y43" s="63"/>
      <c r="Z43" s="63"/>
      <c r="AA43" s="48"/>
      <c r="AB43" s="48"/>
      <c r="AC43" s="48"/>
      <c r="AD43" s="48"/>
      <c r="AE43" s="48"/>
      <c r="AF43" s="48"/>
    </row>
    <row r="44" spans="1:35" s="29" customFormat="1" ht="14.25" hidden="1" customHeight="1" x14ac:dyDescent="0.25">
      <c r="A44" s="5" t="s">
        <v>592</v>
      </c>
      <c r="B44" s="61"/>
      <c r="C44" s="62"/>
      <c r="D44" s="62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48"/>
      <c r="AB44" s="48"/>
      <c r="AC44" s="48"/>
      <c r="AD44" s="48"/>
      <c r="AE44" s="48"/>
      <c r="AF44" s="48"/>
    </row>
    <row r="45" spans="1:35" s="29" customFormat="1" ht="14.25" hidden="1" customHeight="1" x14ac:dyDescent="0.25">
      <c r="A45" s="5" t="s">
        <v>593</v>
      </c>
      <c r="B45" s="61"/>
      <c r="C45" s="62"/>
      <c r="D45" s="62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48"/>
      <c r="AB45" s="48"/>
      <c r="AC45" s="48"/>
      <c r="AD45" s="48"/>
      <c r="AE45" s="48"/>
      <c r="AF45" s="48"/>
    </row>
    <row r="46" spans="1:35" s="29" customFormat="1" ht="14.25" hidden="1" customHeight="1" x14ac:dyDescent="0.25">
      <c r="A46" s="5" t="s">
        <v>594</v>
      </c>
      <c r="B46" s="61"/>
      <c r="C46" s="62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48"/>
      <c r="AB46" s="48"/>
      <c r="AC46" s="48"/>
      <c r="AD46" s="48"/>
      <c r="AE46" s="48"/>
      <c r="AF46" s="48"/>
    </row>
    <row r="47" spans="1:35" s="29" customFormat="1" ht="14.25" hidden="1" customHeight="1" x14ac:dyDescent="0.25">
      <c r="A47" s="5" t="s">
        <v>595</v>
      </c>
      <c r="B47" s="61"/>
      <c r="C47" s="62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48"/>
      <c r="AB47" s="48"/>
      <c r="AC47" s="48"/>
      <c r="AD47" s="48"/>
      <c r="AE47" s="48"/>
      <c r="AF47" s="48"/>
    </row>
    <row r="48" spans="1:35" s="29" customFormat="1" ht="14.25" hidden="1" customHeight="1" x14ac:dyDescent="0.25">
      <c r="A48" s="5" t="s">
        <v>650</v>
      </c>
      <c r="B48" s="61"/>
      <c r="C48" s="62"/>
      <c r="D48" s="62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48"/>
      <c r="AB48" s="48"/>
      <c r="AC48" s="48"/>
      <c r="AD48" s="48"/>
      <c r="AE48" s="48"/>
      <c r="AF48" s="48"/>
    </row>
    <row r="49" spans="1:32" s="29" customFormat="1" ht="14.25" hidden="1" customHeight="1" x14ac:dyDescent="0.25">
      <c r="A49" s="5" t="s">
        <v>651</v>
      </c>
      <c r="B49" s="61"/>
      <c r="C49" s="62"/>
      <c r="D49" s="62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48"/>
      <c r="AB49" s="48"/>
      <c r="AC49" s="48"/>
      <c r="AD49" s="48"/>
      <c r="AE49" s="48"/>
      <c r="AF49" s="48"/>
    </row>
    <row r="50" spans="1:32" s="29" customFormat="1" ht="14.25" hidden="1" customHeight="1" x14ac:dyDescent="0.25">
      <c r="A50" s="5" t="s">
        <v>652</v>
      </c>
      <c r="B50" s="61"/>
      <c r="C50" s="62"/>
      <c r="D50" s="62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48"/>
      <c r="AC50" s="48"/>
      <c r="AD50" s="48"/>
      <c r="AE50" s="63"/>
      <c r="AF50" s="48"/>
    </row>
    <row r="51" spans="1:32" s="29" customFormat="1" ht="14.25" hidden="1" customHeight="1" x14ac:dyDescent="0.25">
      <c r="A51" s="5" t="s">
        <v>653</v>
      </c>
      <c r="B51" s="61"/>
      <c r="C51" s="62"/>
      <c r="D51" s="62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48"/>
      <c r="AC51" s="48"/>
      <c r="AD51" s="48"/>
      <c r="AE51" s="63"/>
      <c r="AF51" s="48"/>
    </row>
    <row r="52" spans="1:32" s="29" customFormat="1" ht="14.25" hidden="1" customHeight="1" x14ac:dyDescent="0.25">
      <c r="A52" s="5" t="s">
        <v>121</v>
      </c>
      <c r="B52" s="61"/>
      <c r="C52" s="62"/>
      <c r="D52" s="62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48"/>
      <c r="AC52" s="48"/>
      <c r="AD52" s="48"/>
      <c r="AE52" s="63"/>
      <c r="AF52" s="48"/>
    </row>
    <row r="53" spans="1:32" s="29" customFormat="1" ht="14.25" hidden="1" customHeight="1" x14ac:dyDescent="0.25">
      <c r="A53" s="5" t="s">
        <v>678</v>
      </c>
      <c r="B53" s="74"/>
      <c r="C53" s="73"/>
      <c r="D53" s="7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48"/>
      <c r="AB53" s="48"/>
      <c r="AC53" s="48"/>
      <c r="AD53" s="48"/>
      <c r="AE53" s="48"/>
      <c r="AF53" s="48"/>
    </row>
    <row r="54" spans="1:32" s="29" customFormat="1" ht="14.25" hidden="1" customHeight="1" x14ac:dyDescent="0.25">
      <c r="A54" s="5" t="s">
        <v>679</v>
      </c>
      <c r="B54" s="61"/>
      <c r="C54" s="62"/>
      <c r="D54" s="62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48"/>
      <c r="AB54" s="48"/>
      <c r="AC54" s="48"/>
      <c r="AD54" s="48"/>
      <c r="AE54" s="48"/>
      <c r="AF54" s="48"/>
    </row>
    <row r="55" spans="1:32" s="29" customFormat="1" ht="14.25" hidden="1" customHeight="1" x14ac:dyDescent="0.25">
      <c r="A55" s="5" t="s">
        <v>124</v>
      </c>
      <c r="B55" s="61"/>
      <c r="C55" s="62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48"/>
      <c r="AB55" s="48"/>
      <c r="AC55" s="48"/>
      <c r="AD55" s="48"/>
      <c r="AE55" s="48"/>
      <c r="AF55" s="48"/>
    </row>
    <row r="56" spans="1:32" s="29" customFormat="1" ht="14.25" hidden="1" customHeight="1" x14ac:dyDescent="0.25">
      <c r="A56" s="5" t="s">
        <v>125</v>
      </c>
      <c r="B56" s="61"/>
      <c r="C56" s="62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48"/>
      <c r="AB56" s="48"/>
      <c r="AC56" s="48"/>
      <c r="AD56" s="48"/>
      <c r="AE56" s="48"/>
      <c r="AF56" s="48"/>
    </row>
    <row r="57" spans="1:32" s="29" customFormat="1" ht="14.25" hidden="1" customHeight="1" x14ac:dyDescent="0.25">
      <c r="A57" s="5" t="s">
        <v>126</v>
      </c>
      <c r="B57" s="74"/>
      <c r="C57" s="73"/>
      <c r="D57" s="7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48"/>
      <c r="AB57" s="48"/>
      <c r="AC57" s="48"/>
      <c r="AD57" s="48"/>
      <c r="AE57" s="48"/>
      <c r="AF57" s="48"/>
    </row>
    <row r="58" spans="1:32" s="29" customFormat="1" ht="14.25" hidden="1" customHeight="1" x14ac:dyDescent="0.25">
      <c r="A58" s="5" t="s">
        <v>129</v>
      </c>
      <c r="B58" s="61"/>
      <c r="C58" s="62"/>
      <c r="D58" s="62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48"/>
      <c r="AB58" s="48"/>
      <c r="AC58" s="48"/>
      <c r="AD58" s="48"/>
      <c r="AE58" s="48"/>
      <c r="AF58" s="48"/>
    </row>
    <row r="59" spans="1:32" s="29" customFormat="1" ht="14.25" hidden="1" customHeight="1" x14ac:dyDescent="0.25">
      <c r="A59" s="5" t="s">
        <v>132</v>
      </c>
      <c r="B59" s="61"/>
      <c r="C59" s="62"/>
      <c r="D59" s="62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48"/>
      <c r="AB59" s="48"/>
      <c r="AC59" s="48"/>
      <c r="AD59" s="48"/>
      <c r="AE59" s="48"/>
      <c r="AF59" s="48"/>
    </row>
    <row r="60" spans="1:32" s="29" customFormat="1" ht="14.45" hidden="1" customHeight="1" x14ac:dyDescent="0.25">
      <c r="A60" s="5" t="s">
        <v>133</v>
      </c>
      <c r="B60" s="74"/>
      <c r="C60" s="73"/>
      <c r="D60" s="7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48"/>
      <c r="AB60" s="48"/>
      <c r="AC60" s="48"/>
      <c r="AD60" s="48"/>
      <c r="AE60" s="48"/>
      <c r="AF60" s="48"/>
    </row>
    <row r="61" spans="1:32" s="29" customFormat="1" ht="14.45" hidden="1" customHeight="1" x14ac:dyDescent="0.25">
      <c r="A61" s="5" t="s">
        <v>134</v>
      </c>
      <c r="B61" s="61"/>
      <c r="C61" s="62"/>
      <c r="D61" s="62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48"/>
      <c r="AB61" s="48"/>
      <c r="AC61" s="48"/>
      <c r="AD61" s="48"/>
      <c r="AE61" s="48"/>
      <c r="AF61" s="48"/>
    </row>
    <row r="62" spans="1:32" s="29" customFormat="1" ht="14.45" hidden="1" customHeight="1" x14ac:dyDescent="0.25">
      <c r="A62" s="5" t="s">
        <v>135</v>
      </c>
      <c r="B62" s="61"/>
      <c r="C62" s="62"/>
      <c r="D62" s="62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48"/>
      <c r="AB62" s="48"/>
      <c r="AC62" s="48"/>
      <c r="AD62" s="48"/>
      <c r="AE62" s="48"/>
      <c r="AF62" s="48"/>
    </row>
    <row r="63" spans="1:32" s="29" customFormat="1" ht="14.45" hidden="1" customHeight="1" x14ac:dyDescent="0.25">
      <c r="A63" s="5" t="s">
        <v>138</v>
      </c>
      <c r="B63" s="61"/>
      <c r="C63" s="62"/>
      <c r="D63" s="62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48"/>
      <c r="AB63" s="48"/>
      <c r="AC63" s="48"/>
      <c r="AD63" s="48"/>
      <c r="AE63" s="48"/>
      <c r="AF63" s="48"/>
    </row>
    <row r="64" spans="1:32" s="29" customFormat="1" ht="14.45" hidden="1" customHeight="1" x14ac:dyDescent="0.25">
      <c r="A64" s="5" t="s">
        <v>141</v>
      </c>
      <c r="B64" s="46"/>
      <c r="C64" s="47"/>
      <c r="D64" s="47"/>
      <c r="E64" s="64"/>
      <c r="F64" s="64"/>
      <c r="G64" s="64"/>
      <c r="H64" s="64"/>
      <c r="I64" s="64"/>
      <c r="J64" s="64"/>
      <c r="K64" s="64"/>
      <c r="L64" s="64"/>
      <c r="M64" s="63"/>
      <c r="N64" s="63"/>
      <c r="O64" s="63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9"/>
      <c r="AC64" s="49"/>
      <c r="AD64" s="49"/>
      <c r="AE64" s="48"/>
      <c r="AF64" s="48"/>
    </row>
    <row r="65" spans="1:32" s="29" customFormat="1" ht="14.45" customHeight="1" x14ac:dyDescent="0.25">
      <c r="A65" s="5"/>
      <c r="B65" s="443"/>
      <c r="C65" s="444"/>
      <c r="D65" s="444"/>
      <c r="E65" s="105"/>
      <c r="F65" s="105"/>
      <c r="G65" s="105"/>
      <c r="H65" s="105"/>
      <c r="I65" s="105"/>
      <c r="J65" s="105"/>
      <c r="K65" s="105"/>
      <c r="L65" s="105"/>
      <c r="M65" s="445"/>
      <c r="N65" s="445"/>
      <c r="O65" s="445"/>
      <c r="P65" s="106"/>
      <c r="Q65" s="106"/>
      <c r="R65" s="106"/>
      <c r="S65" s="106"/>
      <c r="T65" s="106"/>
      <c r="U65" s="106"/>
      <c r="V65" s="106"/>
      <c r="W65" s="106"/>
      <c r="X65" s="106"/>
      <c r="Y65" s="106"/>
      <c r="Z65" s="106"/>
      <c r="AA65" s="106"/>
      <c r="AB65" s="446"/>
      <c r="AC65" s="446"/>
      <c r="AD65" s="446"/>
      <c r="AE65" s="106"/>
      <c r="AF65" s="106"/>
    </row>
    <row r="66" spans="1:32" s="29" customFormat="1" ht="14.45" customHeight="1" x14ac:dyDescent="0.25">
      <c r="A66" s="5"/>
      <c r="B66" s="76"/>
      <c r="C66" s="70"/>
      <c r="D66" s="70"/>
      <c r="E66" s="53"/>
      <c r="F66" s="53"/>
      <c r="G66" s="53"/>
      <c r="H66" s="53"/>
      <c r="I66" s="53"/>
      <c r="J66" s="53"/>
      <c r="K66" s="53"/>
      <c r="L66" s="53"/>
      <c r="M66" s="71"/>
      <c r="N66" s="71"/>
      <c r="O66" s="71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194"/>
      <c r="AC66" s="194"/>
      <c r="AD66" s="194"/>
      <c r="AE66" s="54"/>
      <c r="AF66" s="54"/>
    </row>
    <row r="67" spans="1:32" s="29" customFormat="1" ht="14.45" customHeight="1" x14ac:dyDescent="0.25">
      <c r="A67" s="5"/>
      <c r="B67" s="76"/>
      <c r="C67" s="70"/>
      <c r="D67" s="70"/>
      <c r="E67" s="53"/>
      <c r="F67" s="53"/>
      <c r="G67" s="53"/>
      <c r="H67" s="53"/>
      <c r="I67" s="53"/>
      <c r="J67" s="53"/>
      <c r="K67" s="53"/>
      <c r="L67" s="53"/>
      <c r="M67" s="71"/>
      <c r="N67" s="71"/>
      <c r="O67" s="71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194"/>
      <c r="AC67" s="194"/>
      <c r="AD67" s="194"/>
      <c r="AE67" s="54"/>
      <c r="AF67" s="54"/>
    </row>
    <row r="68" spans="1:32" s="29" customFormat="1" ht="14.45" customHeight="1" x14ac:dyDescent="0.25">
      <c r="A68" s="5" t="s">
        <v>589</v>
      </c>
      <c r="B68" s="31" t="s">
        <v>720</v>
      </c>
      <c r="C68" s="70"/>
      <c r="D68" s="70"/>
      <c r="E68" s="53"/>
      <c r="F68" s="53"/>
      <c r="G68" s="53"/>
      <c r="H68" s="53"/>
      <c r="I68" s="53"/>
      <c r="J68" s="53"/>
      <c r="K68" s="53"/>
      <c r="L68" s="53"/>
      <c r="M68" s="71"/>
      <c r="N68" s="71"/>
      <c r="O68" s="71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194"/>
      <c r="AC68" s="194"/>
      <c r="AD68" s="194"/>
      <c r="AE68" s="54"/>
      <c r="AF68" s="54"/>
    </row>
    <row r="69" spans="1:32" s="29" customFormat="1" ht="14.45" customHeight="1" x14ac:dyDescent="0.25">
      <c r="A69" s="5" t="s">
        <v>590</v>
      </c>
      <c r="B69" s="448" t="s">
        <v>721</v>
      </c>
      <c r="C69" s="196"/>
      <c r="D69" s="196"/>
      <c r="E69" s="197"/>
      <c r="F69" s="197"/>
      <c r="G69" s="197"/>
      <c r="H69" s="197"/>
      <c r="I69" s="197"/>
      <c r="J69" s="197"/>
      <c r="K69" s="197"/>
      <c r="L69" s="197"/>
      <c r="M69" s="198"/>
      <c r="N69" s="198"/>
      <c r="O69" s="198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447"/>
      <c r="AC69" s="447"/>
      <c r="AD69" s="447"/>
      <c r="AE69" s="447"/>
      <c r="AF69" s="447"/>
    </row>
    <row r="70" spans="1:32" s="29" customFormat="1" ht="14.45" customHeight="1" x14ac:dyDescent="0.25">
      <c r="A70" s="5" t="s">
        <v>591</v>
      </c>
      <c r="B70" s="442" t="s">
        <v>722</v>
      </c>
      <c r="C70" s="196"/>
      <c r="D70" s="196"/>
      <c r="E70" s="197"/>
      <c r="F70" s="197"/>
      <c r="G70" s="197"/>
      <c r="H70" s="197"/>
      <c r="I70" s="197"/>
      <c r="J70" s="197"/>
      <c r="K70" s="197"/>
      <c r="L70" s="197"/>
      <c r="M70" s="198"/>
      <c r="N70" s="198"/>
      <c r="O70" s="198"/>
      <c r="P70" s="199">
        <v>1</v>
      </c>
      <c r="Q70" s="199">
        <f t="shared" ref="Q70:Q78" si="9">P70</f>
        <v>1</v>
      </c>
      <c r="R70" s="199"/>
      <c r="S70" s="199"/>
      <c r="T70" s="199">
        <v>1</v>
      </c>
      <c r="U70" s="199"/>
      <c r="V70" s="199"/>
      <c r="W70" s="199">
        <f t="shared" ref="W70:W78" si="10">E70+M70+Q70</f>
        <v>1</v>
      </c>
      <c r="X70" s="199"/>
      <c r="Y70" s="199"/>
      <c r="Z70" s="199"/>
      <c r="AA70" s="199"/>
      <c r="AB70" s="447">
        <f t="shared" ref="AB70:AB78" si="11">T70+X70/2</f>
        <v>1</v>
      </c>
      <c r="AC70" s="447"/>
      <c r="AD70" s="447"/>
      <c r="AE70" s="447"/>
      <c r="AF70" s="447">
        <f t="shared" ref="AF70:AF78" si="12">W70+AA70/2</f>
        <v>1</v>
      </c>
    </row>
    <row r="71" spans="1:32" s="29" customFormat="1" ht="14.45" customHeight="1" x14ac:dyDescent="0.25">
      <c r="A71" s="5" t="s">
        <v>592</v>
      </c>
      <c r="B71" s="442" t="s">
        <v>723</v>
      </c>
      <c r="C71" s="196"/>
      <c r="D71" s="196"/>
      <c r="E71" s="197"/>
      <c r="F71" s="197"/>
      <c r="G71" s="197"/>
      <c r="H71" s="197"/>
      <c r="I71" s="197"/>
      <c r="J71" s="197"/>
      <c r="K71" s="197"/>
      <c r="L71" s="197"/>
      <c r="M71" s="198"/>
      <c r="N71" s="198"/>
      <c r="O71" s="198"/>
      <c r="P71" s="199">
        <v>1</v>
      </c>
      <c r="Q71" s="199">
        <f t="shared" si="9"/>
        <v>1</v>
      </c>
      <c r="R71" s="199"/>
      <c r="S71" s="199"/>
      <c r="T71" s="199">
        <v>1</v>
      </c>
      <c r="U71" s="199"/>
      <c r="V71" s="199"/>
      <c r="W71" s="199">
        <f t="shared" si="10"/>
        <v>1</v>
      </c>
      <c r="X71" s="199"/>
      <c r="Y71" s="199"/>
      <c r="Z71" s="199"/>
      <c r="AA71" s="199"/>
      <c r="AB71" s="447">
        <f t="shared" si="11"/>
        <v>1</v>
      </c>
      <c r="AC71" s="447"/>
      <c r="AD71" s="447"/>
      <c r="AE71" s="447"/>
      <c r="AF71" s="447">
        <f t="shared" si="12"/>
        <v>1</v>
      </c>
    </row>
    <row r="72" spans="1:32" s="29" customFormat="1" ht="14.45" customHeight="1" x14ac:dyDescent="0.25">
      <c r="A72" s="5" t="s">
        <v>593</v>
      </c>
      <c r="B72" s="442" t="s">
        <v>724</v>
      </c>
      <c r="C72" s="196"/>
      <c r="D72" s="196"/>
      <c r="E72" s="197"/>
      <c r="F72" s="197"/>
      <c r="G72" s="197"/>
      <c r="H72" s="197"/>
      <c r="I72" s="197"/>
      <c r="J72" s="197"/>
      <c r="K72" s="197"/>
      <c r="L72" s="197"/>
      <c r="M72" s="198"/>
      <c r="N72" s="198"/>
      <c r="O72" s="198"/>
      <c r="P72" s="199">
        <v>2</v>
      </c>
      <c r="Q72" s="199">
        <f t="shared" si="9"/>
        <v>2</v>
      </c>
      <c r="R72" s="199"/>
      <c r="S72" s="199"/>
      <c r="T72" s="199">
        <v>2</v>
      </c>
      <c r="U72" s="199"/>
      <c r="V72" s="199"/>
      <c r="W72" s="199">
        <f t="shared" si="10"/>
        <v>2</v>
      </c>
      <c r="X72" s="199"/>
      <c r="Y72" s="199"/>
      <c r="Z72" s="199"/>
      <c r="AA72" s="199"/>
      <c r="AB72" s="447">
        <f t="shared" si="11"/>
        <v>2</v>
      </c>
      <c r="AC72" s="447"/>
      <c r="AD72" s="447"/>
      <c r="AE72" s="447"/>
      <c r="AF72" s="447">
        <f t="shared" si="12"/>
        <v>2</v>
      </c>
    </row>
    <row r="73" spans="1:32" s="29" customFormat="1" ht="14.45" customHeight="1" x14ac:dyDescent="0.25">
      <c r="A73" s="5" t="s">
        <v>594</v>
      </c>
      <c r="B73" s="442" t="s">
        <v>725</v>
      </c>
      <c r="C73" s="196"/>
      <c r="D73" s="196"/>
      <c r="E73" s="197"/>
      <c r="F73" s="197"/>
      <c r="G73" s="197"/>
      <c r="H73" s="197"/>
      <c r="I73" s="197"/>
      <c r="J73" s="197"/>
      <c r="K73" s="197"/>
      <c r="L73" s="197"/>
      <c r="M73" s="198"/>
      <c r="N73" s="198"/>
      <c r="O73" s="198"/>
      <c r="P73" s="199">
        <v>1</v>
      </c>
      <c r="Q73" s="199">
        <f t="shared" si="9"/>
        <v>1</v>
      </c>
      <c r="R73" s="199"/>
      <c r="S73" s="199"/>
      <c r="T73" s="199">
        <v>1</v>
      </c>
      <c r="U73" s="199"/>
      <c r="V73" s="199"/>
      <c r="W73" s="199">
        <f t="shared" si="10"/>
        <v>1</v>
      </c>
      <c r="X73" s="199"/>
      <c r="Y73" s="199"/>
      <c r="Z73" s="199"/>
      <c r="AA73" s="199"/>
      <c r="AB73" s="447">
        <f t="shared" si="11"/>
        <v>1</v>
      </c>
      <c r="AC73" s="447"/>
      <c r="AD73" s="447"/>
      <c r="AE73" s="447"/>
      <c r="AF73" s="447">
        <f t="shared" si="12"/>
        <v>1</v>
      </c>
    </row>
    <row r="74" spans="1:32" s="29" customFormat="1" ht="14.45" customHeight="1" x14ac:dyDescent="0.25">
      <c r="A74" s="5" t="s">
        <v>595</v>
      </c>
      <c r="B74" s="442" t="s">
        <v>726</v>
      </c>
      <c r="C74" s="196"/>
      <c r="D74" s="196"/>
      <c r="E74" s="197"/>
      <c r="F74" s="197"/>
      <c r="G74" s="197"/>
      <c r="H74" s="197"/>
      <c r="I74" s="197"/>
      <c r="J74" s="197"/>
      <c r="K74" s="197"/>
      <c r="L74" s="197"/>
      <c r="M74" s="198"/>
      <c r="N74" s="198"/>
      <c r="O74" s="198"/>
      <c r="P74" s="199">
        <v>1</v>
      </c>
      <c r="Q74" s="199">
        <f t="shared" si="9"/>
        <v>1</v>
      </c>
      <c r="R74" s="199"/>
      <c r="S74" s="199"/>
      <c r="T74" s="199">
        <v>1</v>
      </c>
      <c r="U74" s="199"/>
      <c r="V74" s="199"/>
      <c r="W74" s="199">
        <f t="shared" si="10"/>
        <v>1</v>
      </c>
      <c r="X74" s="199"/>
      <c r="Y74" s="199"/>
      <c r="Z74" s="199"/>
      <c r="AA74" s="199"/>
      <c r="AB74" s="447">
        <f t="shared" si="11"/>
        <v>1</v>
      </c>
      <c r="AC74" s="447"/>
      <c r="AD74" s="447"/>
      <c r="AE74" s="447"/>
      <c r="AF74" s="447">
        <f t="shared" si="12"/>
        <v>1</v>
      </c>
    </row>
    <row r="75" spans="1:32" s="29" customFormat="1" ht="14.45" customHeight="1" x14ac:dyDescent="0.25">
      <c r="A75" s="5" t="s">
        <v>650</v>
      </c>
      <c r="B75" s="442" t="s">
        <v>1132</v>
      </c>
      <c r="C75" s="196"/>
      <c r="D75" s="196"/>
      <c r="E75" s="197"/>
      <c r="F75" s="197"/>
      <c r="G75" s="197"/>
      <c r="H75" s="197"/>
      <c r="I75" s="197"/>
      <c r="J75" s="197"/>
      <c r="K75" s="197"/>
      <c r="L75" s="197"/>
      <c r="M75" s="198"/>
      <c r="N75" s="198"/>
      <c r="O75" s="198"/>
      <c r="P75" s="199">
        <v>1</v>
      </c>
      <c r="Q75" s="199">
        <f t="shared" si="9"/>
        <v>1</v>
      </c>
      <c r="R75" s="199"/>
      <c r="S75" s="199"/>
      <c r="T75" s="199">
        <v>1</v>
      </c>
      <c r="U75" s="199"/>
      <c r="V75" s="199"/>
      <c r="W75" s="199">
        <f t="shared" si="10"/>
        <v>1</v>
      </c>
      <c r="X75" s="199"/>
      <c r="Y75" s="199"/>
      <c r="Z75" s="199"/>
      <c r="AA75" s="199"/>
      <c r="AB75" s="447">
        <f t="shared" si="11"/>
        <v>1</v>
      </c>
      <c r="AC75" s="447"/>
      <c r="AD75" s="447"/>
      <c r="AE75" s="447"/>
      <c r="AF75" s="447">
        <f t="shared" si="12"/>
        <v>1</v>
      </c>
    </row>
    <row r="76" spans="1:32" s="29" customFormat="1" ht="14.45" customHeight="1" x14ac:dyDescent="0.25">
      <c r="A76" s="5" t="s">
        <v>651</v>
      </c>
      <c r="B76" s="442" t="s">
        <v>1133</v>
      </c>
      <c r="C76" s="196"/>
      <c r="D76" s="196"/>
      <c r="E76" s="197"/>
      <c r="F76" s="197"/>
      <c r="G76" s="197"/>
      <c r="H76" s="197"/>
      <c r="I76" s="197"/>
      <c r="J76" s="197"/>
      <c r="K76" s="197"/>
      <c r="L76" s="197"/>
      <c r="M76" s="198"/>
      <c r="N76" s="198"/>
      <c r="O76" s="198"/>
      <c r="P76" s="199">
        <v>1</v>
      </c>
      <c r="Q76" s="199">
        <f t="shared" si="9"/>
        <v>1</v>
      </c>
      <c r="R76" s="199"/>
      <c r="S76" s="199"/>
      <c r="T76" s="199">
        <v>1</v>
      </c>
      <c r="U76" s="199"/>
      <c r="V76" s="199"/>
      <c r="W76" s="199">
        <f t="shared" si="10"/>
        <v>1</v>
      </c>
      <c r="X76" s="199"/>
      <c r="Y76" s="199"/>
      <c r="Z76" s="199"/>
      <c r="AA76" s="199"/>
      <c r="AB76" s="447">
        <f t="shared" si="11"/>
        <v>1</v>
      </c>
      <c r="AC76" s="447"/>
      <c r="AD76" s="447"/>
      <c r="AE76" s="447"/>
      <c r="AF76" s="447">
        <f t="shared" si="12"/>
        <v>1</v>
      </c>
    </row>
    <row r="77" spans="1:32" s="29" customFormat="1" ht="14.45" customHeight="1" x14ac:dyDescent="0.25">
      <c r="A77" s="5" t="s">
        <v>652</v>
      </c>
      <c r="B77" s="442" t="s">
        <v>727</v>
      </c>
      <c r="C77" s="196"/>
      <c r="D77" s="196"/>
      <c r="E77" s="197"/>
      <c r="F77" s="197"/>
      <c r="G77" s="197"/>
      <c r="H77" s="197"/>
      <c r="I77" s="197"/>
      <c r="J77" s="197"/>
      <c r="K77" s="197"/>
      <c r="L77" s="197"/>
      <c r="M77" s="198"/>
      <c r="N77" s="198"/>
      <c r="O77" s="198"/>
      <c r="P77" s="199">
        <v>1</v>
      </c>
      <c r="Q77" s="199">
        <f t="shared" si="9"/>
        <v>1</v>
      </c>
      <c r="R77" s="199"/>
      <c r="S77" s="199"/>
      <c r="T77" s="199">
        <v>1</v>
      </c>
      <c r="U77" s="199"/>
      <c r="V77" s="199"/>
      <c r="W77" s="199">
        <f t="shared" si="10"/>
        <v>1</v>
      </c>
      <c r="X77" s="199"/>
      <c r="Y77" s="199"/>
      <c r="Z77" s="199"/>
      <c r="AA77" s="199"/>
      <c r="AB77" s="447">
        <f t="shared" si="11"/>
        <v>1</v>
      </c>
      <c r="AC77" s="447"/>
      <c r="AD77" s="447"/>
      <c r="AE77" s="447"/>
      <c r="AF77" s="447">
        <f t="shared" si="12"/>
        <v>1</v>
      </c>
    </row>
    <row r="78" spans="1:32" s="29" customFormat="1" ht="14.45" customHeight="1" x14ac:dyDescent="0.25">
      <c r="A78" s="5" t="s">
        <v>653</v>
      </c>
      <c r="B78" s="442" t="s">
        <v>728</v>
      </c>
      <c r="C78" s="196"/>
      <c r="D78" s="196"/>
      <c r="E78" s="197"/>
      <c r="F78" s="197"/>
      <c r="G78" s="197"/>
      <c r="H78" s="197"/>
      <c r="I78" s="197"/>
      <c r="J78" s="197"/>
      <c r="K78" s="197"/>
      <c r="L78" s="197"/>
      <c r="M78" s="198"/>
      <c r="N78" s="198"/>
      <c r="O78" s="198"/>
      <c r="P78" s="199">
        <v>1</v>
      </c>
      <c r="Q78" s="199">
        <f t="shared" si="9"/>
        <v>1</v>
      </c>
      <c r="R78" s="199"/>
      <c r="S78" s="199"/>
      <c r="T78" s="199">
        <v>1</v>
      </c>
      <c r="U78" s="199"/>
      <c r="V78" s="199"/>
      <c r="W78" s="199">
        <f t="shared" si="10"/>
        <v>1</v>
      </c>
      <c r="X78" s="199"/>
      <c r="Y78" s="199"/>
      <c r="Z78" s="199"/>
      <c r="AA78" s="199"/>
      <c r="AB78" s="447">
        <f t="shared" si="11"/>
        <v>1</v>
      </c>
      <c r="AC78" s="447"/>
      <c r="AD78" s="447"/>
      <c r="AE78" s="447"/>
      <c r="AF78" s="447">
        <f t="shared" si="12"/>
        <v>1</v>
      </c>
    </row>
    <row r="79" spans="1:32" s="29" customFormat="1" ht="14.45" customHeight="1" x14ac:dyDescent="0.25">
      <c r="A79" s="5" t="s">
        <v>121</v>
      </c>
      <c r="B79" s="448" t="s">
        <v>729</v>
      </c>
      <c r="C79" s="196"/>
      <c r="D79" s="196"/>
      <c r="E79" s="197"/>
      <c r="F79" s="197"/>
      <c r="G79" s="197"/>
      <c r="H79" s="197"/>
      <c r="I79" s="197"/>
      <c r="J79" s="197"/>
      <c r="K79" s="197"/>
      <c r="L79" s="197"/>
      <c r="M79" s="198"/>
      <c r="N79" s="198"/>
      <c r="O79" s="198"/>
      <c r="P79" s="199"/>
      <c r="Q79" s="199"/>
      <c r="R79" s="199"/>
      <c r="S79" s="199"/>
      <c r="T79" s="199"/>
      <c r="U79" s="199"/>
      <c r="V79" s="199"/>
      <c r="W79" s="199"/>
      <c r="X79" s="199"/>
      <c r="Y79" s="199"/>
      <c r="Z79" s="199"/>
      <c r="AA79" s="199"/>
      <c r="AB79" s="447"/>
      <c r="AC79" s="447"/>
      <c r="AD79" s="447"/>
      <c r="AE79" s="447"/>
      <c r="AF79" s="447"/>
    </row>
    <row r="80" spans="1:32" s="29" customFormat="1" ht="14.45" customHeight="1" x14ac:dyDescent="0.25">
      <c r="A80" s="5" t="s">
        <v>678</v>
      </c>
      <c r="B80" s="442" t="s">
        <v>730</v>
      </c>
      <c r="C80" s="196"/>
      <c r="D80" s="196"/>
      <c r="E80" s="197"/>
      <c r="F80" s="197"/>
      <c r="G80" s="197"/>
      <c r="H80" s="197"/>
      <c r="I80" s="197"/>
      <c r="J80" s="197"/>
      <c r="K80" s="197"/>
      <c r="L80" s="197"/>
      <c r="M80" s="198"/>
      <c r="N80" s="198"/>
      <c r="O80" s="198"/>
      <c r="P80" s="199">
        <v>1</v>
      </c>
      <c r="Q80" s="199">
        <f t="shared" ref="Q80:Q87" si="13">P80</f>
        <v>1</v>
      </c>
      <c r="R80" s="199"/>
      <c r="S80" s="199"/>
      <c r="T80" s="199">
        <v>1</v>
      </c>
      <c r="U80" s="199"/>
      <c r="V80" s="199"/>
      <c r="W80" s="199">
        <f t="shared" ref="W80:W87" si="14">E80+M80+Q80</f>
        <v>1</v>
      </c>
      <c r="X80" s="199"/>
      <c r="Y80" s="199"/>
      <c r="Z80" s="199"/>
      <c r="AA80" s="199"/>
      <c r="AB80" s="447">
        <f t="shared" ref="AB80:AB87" si="15">T80+X80/2</f>
        <v>1</v>
      </c>
      <c r="AC80" s="447"/>
      <c r="AD80" s="447"/>
      <c r="AE80" s="447"/>
      <c r="AF80" s="447">
        <f t="shared" ref="AF80:AF87" si="16">W80+AA80/2</f>
        <v>1</v>
      </c>
    </row>
    <row r="81" spans="1:32" s="29" customFormat="1" ht="14.45" customHeight="1" x14ac:dyDescent="0.25">
      <c r="A81" s="5" t="s">
        <v>679</v>
      </c>
      <c r="B81" s="442" t="s">
        <v>731</v>
      </c>
      <c r="C81" s="196"/>
      <c r="D81" s="196"/>
      <c r="E81" s="197"/>
      <c r="F81" s="197"/>
      <c r="G81" s="197"/>
      <c r="H81" s="197"/>
      <c r="I81" s="197"/>
      <c r="J81" s="197"/>
      <c r="K81" s="197"/>
      <c r="L81" s="197"/>
      <c r="M81" s="198"/>
      <c r="N81" s="198"/>
      <c r="O81" s="198"/>
      <c r="P81" s="199">
        <v>1</v>
      </c>
      <c r="Q81" s="199">
        <f t="shared" si="13"/>
        <v>1</v>
      </c>
      <c r="R81" s="199"/>
      <c r="S81" s="199"/>
      <c r="T81" s="199">
        <v>1</v>
      </c>
      <c r="U81" s="199"/>
      <c r="V81" s="199"/>
      <c r="W81" s="199">
        <f t="shared" si="14"/>
        <v>1</v>
      </c>
      <c r="X81" s="199"/>
      <c r="Y81" s="199"/>
      <c r="Z81" s="199"/>
      <c r="AA81" s="199"/>
      <c r="AB81" s="447">
        <f t="shared" si="15"/>
        <v>1</v>
      </c>
      <c r="AC81" s="447"/>
      <c r="AD81" s="447"/>
      <c r="AE81" s="447"/>
      <c r="AF81" s="447">
        <f t="shared" si="16"/>
        <v>1</v>
      </c>
    </row>
    <row r="82" spans="1:32" s="29" customFormat="1" ht="14.45" customHeight="1" x14ac:dyDescent="0.25">
      <c r="A82" s="5" t="s">
        <v>124</v>
      </c>
      <c r="B82" s="442" t="s">
        <v>732</v>
      </c>
      <c r="C82" s="196"/>
      <c r="D82" s="196"/>
      <c r="E82" s="197"/>
      <c r="F82" s="197"/>
      <c r="G82" s="197"/>
      <c r="H82" s="197"/>
      <c r="I82" s="197"/>
      <c r="J82" s="197"/>
      <c r="K82" s="197"/>
      <c r="L82" s="197"/>
      <c r="M82" s="198"/>
      <c r="N82" s="198"/>
      <c r="O82" s="198"/>
      <c r="P82" s="199">
        <v>1</v>
      </c>
      <c r="Q82" s="199">
        <f t="shared" si="13"/>
        <v>1</v>
      </c>
      <c r="R82" s="199"/>
      <c r="S82" s="199"/>
      <c r="T82" s="199">
        <v>1</v>
      </c>
      <c r="U82" s="199"/>
      <c r="V82" s="199"/>
      <c r="W82" s="199">
        <f t="shared" si="14"/>
        <v>1</v>
      </c>
      <c r="X82" s="199"/>
      <c r="Y82" s="199"/>
      <c r="Z82" s="199"/>
      <c r="AA82" s="199"/>
      <c r="AB82" s="447">
        <f t="shared" si="15"/>
        <v>1</v>
      </c>
      <c r="AC82" s="447"/>
      <c r="AD82" s="447"/>
      <c r="AE82" s="447"/>
      <c r="AF82" s="447">
        <f t="shared" si="16"/>
        <v>1</v>
      </c>
    </row>
    <row r="83" spans="1:32" s="29" customFormat="1" ht="14.45" customHeight="1" x14ac:dyDescent="0.25">
      <c r="A83" s="5" t="s">
        <v>125</v>
      </c>
      <c r="B83" s="448" t="s">
        <v>733</v>
      </c>
      <c r="C83" s="196"/>
      <c r="D83" s="196"/>
      <c r="E83" s="197"/>
      <c r="F83" s="197"/>
      <c r="G83" s="197"/>
      <c r="H83" s="197"/>
      <c r="I83" s="197"/>
      <c r="J83" s="197"/>
      <c r="K83" s="197"/>
      <c r="L83" s="197"/>
      <c r="M83" s="198"/>
      <c r="N83" s="198"/>
      <c r="O83" s="198"/>
      <c r="P83" s="199"/>
      <c r="Q83" s="199">
        <f t="shared" si="13"/>
        <v>0</v>
      </c>
      <c r="R83" s="199"/>
      <c r="S83" s="199"/>
      <c r="T83" s="199"/>
      <c r="U83" s="199"/>
      <c r="V83" s="199"/>
      <c r="W83" s="199">
        <f t="shared" si="14"/>
        <v>0</v>
      </c>
      <c r="X83" s="199"/>
      <c r="Y83" s="199"/>
      <c r="Z83" s="199"/>
      <c r="AA83" s="199"/>
      <c r="AB83" s="447">
        <f t="shared" si="15"/>
        <v>0</v>
      </c>
      <c r="AC83" s="447"/>
      <c r="AD83" s="447"/>
      <c r="AE83" s="447"/>
      <c r="AF83" s="447">
        <f t="shared" si="16"/>
        <v>0</v>
      </c>
    </row>
    <row r="84" spans="1:32" s="29" customFormat="1" ht="14.45" customHeight="1" x14ac:dyDescent="0.25">
      <c r="A84" s="5" t="s">
        <v>126</v>
      </c>
      <c r="B84" s="442" t="s">
        <v>734</v>
      </c>
      <c r="C84" s="196"/>
      <c r="D84" s="196"/>
      <c r="E84" s="197"/>
      <c r="F84" s="197"/>
      <c r="G84" s="197"/>
      <c r="H84" s="197"/>
      <c r="I84" s="197"/>
      <c r="J84" s="197"/>
      <c r="K84" s="197"/>
      <c r="L84" s="197"/>
      <c r="M84" s="198"/>
      <c r="N84" s="198"/>
      <c r="O84" s="198"/>
      <c r="P84" s="199">
        <v>1</v>
      </c>
      <c r="Q84" s="199">
        <f t="shared" si="13"/>
        <v>1</v>
      </c>
      <c r="R84" s="199"/>
      <c r="S84" s="199"/>
      <c r="T84" s="199">
        <v>1</v>
      </c>
      <c r="U84" s="199"/>
      <c r="V84" s="199"/>
      <c r="W84" s="199">
        <f t="shared" si="14"/>
        <v>1</v>
      </c>
      <c r="X84" s="199"/>
      <c r="Y84" s="199"/>
      <c r="Z84" s="199"/>
      <c r="AA84" s="199"/>
      <c r="AB84" s="447">
        <f t="shared" si="15"/>
        <v>1</v>
      </c>
      <c r="AC84" s="447"/>
      <c r="AD84" s="447"/>
      <c r="AE84" s="447"/>
      <c r="AF84" s="447">
        <f t="shared" si="16"/>
        <v>1</v>
      </c>
    </row>
    <row r="85" spans="1:32" s="29" customFormat="1" ht="14.45" customHeight="1" x14ac:dyDescent="0.25">
      <c r="A85" s="5" t="s">
        <v>129</v>
      </c>
      <c r="B85" s="442" t="s">
        <v>735</v>
      </c>
      <c r="C85" s="196"/>
      <c r="D85" s="196"/>
      <c r="E85" s="197"/>
      <c r="F85" s="197"/>
      <c r="G85" s="197"/>
      <c r="H85" s="197"/>
      <c r="I85" s="197"/>
      <c r="J85" s="197"/>
      <c r="K85" s="197"/>
      <c r="L85" s="197"/>
      <c r="M85" s="198"/>
      <c r="N85" s="198"/>
      <c r="O85" s="198"/>
      <c r="P85" s="199">
        <v>1</v>
      </c>
      <c r="Q85" s="199">
        <f t="shared" si="13"/>
        <v>1</v>
      </c>
      <c r="R85" s="199"/>
      <c r="S85" s="199"/>
      <c r="T85" s="199">
        <v>1</v>
      </c>
      <c r="U85" s="199"/>
      <c r="V85" s="199"/>
      <c r="W85" s="199">
        <f t="shared" si="14"/>
        <v>1</v>
      </c>
      <c r="X85" s="199"/>
      <c r="Y85" s="199"/>
      <c r="Z85" s="199"/>
      <c r="AA85" s="199"/>
      <c r="AB85" s="447">
        <f t="shared" si="15"/>
        <v>1</v>
      </c>
      <c r="AC85" s="447"/>
      <c r="AD85" s="447"/>
      <c r="AE85" s="447"/>
      <c r="AF85" s="447">
        <f t="shared" si="16"/>
        <v>1</v>
      </c>
    </row>
    <row r="86" spans="1:32" s="29" customFormat="1" ht="14.45" customHeight="1" x14ac:dyDescent="0.25">
      <c r="A86" s="5" t="s">
        <v>132</v>
      </c>
      <c r="B86" s="442" t="s">
        <v>736</v>
      </c>
      <c r="C86" s="196"/>
      <c r="D86" s="196"/>
      <c r="E86" s="197"/>
      <c r="F86" s="197"/>
      <c r="G86" s="197"/>
      <c r="H86" s="197"/>
      <c r="I86" s="197"/>
      <c r="J86" s="197"/>
      <c r="K86" s="197"/>
      <c r="L86" s="197"/>
      <c r="M86" s="198"/>
      <c r="N86" s="198"/>
      <c r="O86" s="198"/>
      <c r="P86" s="199">
        <v>3</v>
      </c>
      <c r="Q86" s="199">
        <f t="shared" si="13"/>
        <v>3</v>
      </c>
      <c r="R86" s="199"/>
      <c r="S86" s="199"/>
      <c r="T86" s="199">
        <v>3</v>
      </c>
      <c r="U86" s="199"/>
      <c r="V86" s="199"/>
      <c r="W86" s="199">
        <f t="shared" si="14"/>
        <v>3</v>
      </c>
      <c r="X86" s="199"/>
      <c r="Y86" s="199"/>
      <c r="Z86" s="199"/>
      <c r="AA86" s="199"/>
      <c r="AB86" s="447">
        <f t="shared" si="15"/>
        <v>3</v>
      </c>
      <c r="AC86" s="447"/>
      <c r="AD86" s="447"/>
      <c r="AE86" s="447"/>
      <c r="AF86" s="447">
        <f t="shared" si="16"/>
        <v>3</v>
      </c>
    </row>
    <row r="87" spans="1:32" s="29" customFormat="1" ht="14.45" customHeight="1" x14ac:dyDescent="0.25">
      <c r="A87" s="5" t="s">
        <v>133</v>
      </c>
      <c r="B87" s="442" t="s">
        <v>941</v>
      </c>
      <c r="C87" s="196"/>
      <c r="D87" s="196"/>
      <c r="E87" s="197"/>
      <c r="F87" s="197"/>
      <c r="G87" s="197"/>
      <c r="H87" s="197"/>
      <c r="I87" s="197"/>
      <c r="J87" s="197"/>
      <c r="K87" s="197"/>
      <c r="L87" s="197"/>
      <c r="M87" s="198"/>
      <c r="N87" s="198"/>
      <c r="O87" s="198"/>
      <c r="P87" s="199">
        <v>1</v>
      </c>
      <c r="Q87" s="199">
        <f t="shared" si="13"/>
        <v>1</v>
      </c>
      <c r="R87" s="199"/>
      <c r="S87" s="199"/>
      <c r="T87" s="199">
        <v>1</v>
      </c>
      <c r="U87" s="199"/>
      <c r="V87" s="199"/>
      <c r="W87" s="199">
        <f t="shared" si="14"/>
        <v>1</v>
      </c>
      <c r="X87" s="199"/>
      <c r="Y87" s="199"/>
      <c r="Z87" s="199"/>
      <c r="AA87" s="199"/>
      <c r="AB87" s="447">
        <f t="shared" si="15"/>
        <v>1</v>
      </c>
      <c r="AC87" s="447"/>
      <c r="AD87" s="447"/>
      <c r="AE87" s="447"/>
      <c r="AF87" s="447">
        <f t="shared" si="16"/>
        <v>1</v>
      </c>
    </row>
    <row r="88" spans="1:32" s="29" customFormat="1" ht="14.45" customHeight="1" x14ac:dyDescent="0.25">
      <c r="A88" s="5" t="s">
        <v>134</v>
      </c>
      <c r="B88" s="448" t="s">
        <v>737</v>
      </c>
      <c r="C88" s="196"/>
      <c r="D88" s="196"/>
      <c r="E88" s="197"/>
      <c r="F88" s="197"/>
      <c r="G88" s="197"/>
      <c r="H88" s="197"/>
      <c r="I88" s="197"/>
      <c r="J88" s="197"/>
      <c r="K88" s="197"/>
      <c r="L88" s="197"/>
      <c r="M88" s="198"/>
      <c r="N88" s="198"/>
      <c r="O88" s="198"/>
      <c r="P88" s="199"/>
      <c r="Q88" s="199"/>
      <c r="R88" s="199"/>
      <c r="S88" s="199"/>
      <c r="T88" s="199"/>
      <c r="U88" s="199"/>
      <c r="V88" s="199"/>
      <c r="W88" s="199"/>
      <c r="X88" s="199"/>
      <c r="Y88" s="199"/>
      <c r="Z88" s="199"/>
      <c r="AA88" s="199"/>
      <c r="AB88" s="447"/>
      <c r="AC88" s="447"/>
      <c r="AD88" s="447"/>
      <c r="AE88" s="447"/>
      <c r="AF88" s="447"/>
    </row>
    <row r="89" spans="1:32" s="29" customFormat="1" ht="14.45" customHeight="1" x14ac:dyDescent="0.25">
      <c r="A89" s="5" t="s">
        <v>135</v>
      </c>
      <c r="B89" s="442" t="s">
        <v>738</v>
      </c>
      <c r="C89" s="196"/>
      <c r="D89" s="196"/>
      <c r="E89" s="197"/>
      <c r="F89" s="197"/>
      <c r="G89" s="197"/>
      <c r="H89" s="197"/>
      <c r="I89" s="197"/>
      <c r="J89" s="197"/>
      <c r="K89" s="197"/>
      <c r="L89" s="197"/>
      <c r="M89" s="198"/>
      <c r="N89" s="198"/>
      <c r="O89" s="198"/>
      <c r="P89" s="199">
        <v>1</v>
      </c>
      <c r="Q89" s="199">
        <f>P89</f>
        <v>1</v>
      </c>
      <c r="R89" s="199"/>
      <c r="S89" s="199"/>
      <c r="T89" s="199">
        <v>1</v>
      </c>
      <c r="U89" s="199"/>
      <c r="V89" s="199"/>
      <c r="W89" s="199">
        <f>E89+M89+Q89</f>
        <v>1</v>
      </c>
      <c r="X89" s="199"/>
      <c r="Y89" s="199"/>
      <c r="Z89" s="199"/>
      <c r="AA89" s="199"/>
      <c r="AB89" s="447">
        <f>T89+X89/2</f>
        <v>1</v>
      </c>
      <c r="AC89" s="447"/>
      <c r="AD89" s="447"/>
      <c r="AE89" s="447"/>
      <c r="AF89" s="447">
        <f>W89+AA89/2</f>
        <v>1</v>
      </c>
    </row>
    <row r="90" spans="1:32" s="29" customFormat="1" ht="14.45" customHeight="1" x14ac:dyDescent="0.25">
      <c r="A90" s="5" t="s">
        <v>138</v>
      </c>
      <c r="B90" s="442" t="s">
        <v>739</v>
      </c>
      <c r="C90" s="196"/>
      <c r="D90" s="196"/>
      <c r="E90" s="197"/>
      <c r="F90" s="197"/>
      <c r="G90" s="197"/>
      <c r="H90" s="197"/>
      <c r="I90" s="197"/>
      <c r="J90" s="197"/>
      <c r="K90" s="197"/>
      <c r="L90" s="197"/>
      <c r="M90" s="198"/>
      <c r="N90" s="198"/>
      <c r="O90" s="198"/>
      <c r="P90" s="199">
        <v>2</v>
      </c>
      <c r="Q90" s="199">
        <f>P90</f>
        <v>2</v>
      </c>
      <c r="R90" s="199"/>
      <c r="S90" s="199"/>
      <c r="T90" s="199">
        <v>2</v>
      </c>
      <c r="U90" s="199"/>
      <c r="V90" s="199"/>
      <c r="W90" s="199">
        <f>E90+M90+Q90</f>
        <v>2</v>
      </c>
      <c r="X90" s="199"/>
      <c r="Y90" s="199"/>
      <c r="Z90" s="199"/>
      <c r="AA90" s="199"/>
      <c r="AB90" s="447">
        <f>T90+X90/2</f>
        <v>2</v>
      </c>
      <c r="AC90" s="447"/>
      <c r="AD90" s="447"/>
      <c r="AE90" s="447"/>
      <c r="AF90" s="447">
        <f>W90+AA90/2</f>
        <v>2</v>
      </c>
    </row>
    <row r="91" spans="1:32" s="29" customFormat="1" ht="14.45" customHeight="1" x14ac:dyDescent="0.25">
      <c r="A91" s="5" t="s">
        <v>141</v>
      </c>
      <c r="B91" s="442" t="s">
        <v>740</v>
      </c>
      <c r="C91" s="196"/>
      <c r="D91" s="196"/>
      <c r="E91" s="197"/>
      <c r="F91" s="197"/>
      <c r="G91" s="197"/>
      <c r="H91" s="197"/>
      <c r="I91" s="197"/>
      <c r="J91" s="197"/>
      <c r="K91" s="197"/>
      <c r="L91" s="197"/>
      <c r="M91" s="198"/>
      <c r="N91" s="198"/>
      <c r="O91" s="198"/>
      <c r="P91" s="199">
        <v>1</v>
      </c>
      <c r="Q91" s="199">
        <f>P91</f>
        <v>1</v>
      </c>
      <c r="R91" s="199"/>
      <c r="S91" s="199"/>
      <c r="T91" s="199">
        <v>1</v>
      </c>
      <c r="U91" s="199"/>
      <c r="V91" s="199"/>
      <c r="W91" s="199">
        <f>E91+M91+Q91</f>
        <v>1</v>
      </c>
      <c r="X91" s="199"/>
      <c r="Y91" s="199"/>
      <c r="Z91" s="199"/>
      <c r="AA91" s="199"/>
      <c r="AB91" s="447">
        <f>T91+X91/2</f>
        <v>1</v>
      </c>
      <c r="AC91" s="447"/>
      <c r="AD91" s="447"/>
      <c r="AE91" s="447"/>
      <c r="AF91" s="447">
        <f>W91+AA91/2</f>
        <v>1</v>
      </c>
    </row>
    <row r="92" spans="1:32" s="29" customFormat="1" ht="14.45" customHeight="1" x14ac:dyDescent="0.25">
      <c r="A92" s="5" t="s">
        <v>144</v>
      </c>
      <c r="B92" s="689" t="s">
        <v>1168</v>
      </c>
      <c r="C92" s="690"/>
      <c r="D92" s="690"/>
      <c r="E92" s="691"/>
      <c r="F92" s="691"/>
      <c r="G92" s="691"/>
      <c r="H92" s="691"/>
      <c r="I92" s="691"/>
      <c r="J92" s="691"/>
      <c r="K92" s="691"/>
      <c r="L92" s="691"/>
      <c r="M92" s="692"/>
      <c r="N92" s="692"/>
      <c r="O92" s="692"/>
      <c r="P92" s="693">
        <v>0.5</v>
      </c>
      <c r="Q92" s="693">
        <f>P92</f>
        <v>0.5</v>
      </c>
      <c r="R92" s="693"/>
      <c r="S92" s="693"/>
      <c r="T92" s="693">
        <f>P92+R92</f>
        <v>0.5</v>
      </c>
      <c r="U92" s="693"/>
      <c r="V92" s="693"/>
      <c r="W92" s="693">
        <f>E92+M92+Q92</f>
        <v>0.5</v>
      </c>
      <c r="X92" s="693"/>
      <c r="Y92" s="693"/>
      <c r="Z92" s="693"/>
      <c r="AA92" s="693"/>
      <c r="AB92" s="694">
        <f>T92+X92</f>
        <v>0.5</v>
      </c>
      <c r="AC92" s="694"/>
      <c r="AD92" s="694"/>
      <c r="AE92" s="695"/>
      <c r="AF92" s="696">
        <f>W92+AA92/2</f>
        <v>0.5</v>
      </c>
    </row>
    <row r="93" spans="1:32" s="29" customFormat="1" ht="14.45" customHeight="1" x14ac:dyDescent="0.25">
      <c r="A93" s="5" t="s">
        <v>145</v>
      </c>
      <c r="B93" s="192" t="s">
        <v>741</v>
      </c>
      <c r="C93" s="196"/>
      <c r="D93" s="196"/>
      <c r="E93" s="197"/>
      <c r="F93" s="197"/>
      <c r="G93" s="197"/>
      <c r="H93" s="197"/>
      <c r="I93" s="197"/>
      <c r="J93" s="197"/>
      <c r="K93" s="197"/>
      <c r="L93" s="197"/>
      <c r="M93" s="198"/>
      <c r="N93" s="198"/>
      <c r="O93" s="198"/>
      <c r="P93" s="199">
        <f>SUM(P70:P92)</f>
        <v>23.5</v>
      </c>
      <c r="Q93" s="199">
        <f>P93</f>
        <v>23.5</v>
      </c>
      <c r="R93" s="199">
        <f>SUM(R70:R91)</f>
        <v>0</v>
      </c>
      <c r="S93" s="199">
        <f>SUM(S70:S91)</f>
        <v>0</v>
      </c>
      <c r="T93" s="199">
        <f>SUM(T70:T92)</f>
        <v>23.5</v>
      </c>
      <c r="U93" s="199"/>
      <c r="V93" s="199"/>
      <c r="W93" s="199">
        <f>E93+M93+Q93</f>
        <v>23.5</v>
      </c>
      <c r="X93" s="199">
        <f>SUM(X70:X91)</f>
        <v>0</v>
      </c>
      <c r="Y93" s="199"/>
      <c r="Z93" s="199"/>
      <c r="AA93" s="199">
        <f>SUM(AA70:AA91)</f>
        <v>0</v>
      </c>
      <c r="AB93" s="543">
        <f>T93+X93/2</f>
        <v>23.5</v>
      </c>
      <c r="AC93" s="543"/>
      <c r="AD93" s="543"/>
      <c r="AE93" s="606">
        <v>0</v>
      </c>
      <c r="AF93" s="543">
        <f>SUM(AF70:AF92)</f>
        <v>23.5</v>
      </c>
    </row>
    <row r="94" spans="1:32" s="29" customFormat="1" ht="14.45" customHeight="1" x14ac:dyDescent="0.25">
      <c r="A94" s="5"/>
      <c r="B94" s="443"/>
      <c r="C94" s="526"/>
      <c r="D94" s="526"/>
      <c r="E94" s="527"/>
      <c r="F94" s="527"/>
      <c r="G94" s="527"/>
      <c r="H94" s="527"/>
      <c r="I94" s="527"/>
      <c r="J94" s="527"/>
      <c r="K94" s="527"/>
      <c r="L94" s="527"/>
      <c r="M94" s="528"/>
      <c r="N94" s="528"/>
      <c r="O94" s="528"/>
      <c r="P94" s="529"/>
      <c r="Q94" s="529"/>
      <c r="R94" s="529"/>
      <c r="S94" s="529"/>
      <c r="T94" s="529"/>
      <c r="U94" s="529"/>
      <c r="V94" s="529"/>
      <c r="W94" s="529"/>
      <c r="X94" s="529"/>
      <c r="Y94" s="529"/>
      <c r="Z94" s="529"/>
      <c r="AA94" s="529"/>
      <c r="AB94" s="530"/>
      <c r="AC94" s="530"/>
      <c r="AD94" s="530"/>
      <c r="AE94" s="529"/>
      <c r="AF94" s="529"/>
    </row>
    <row r="95" spans="1:32" s="29" customFormat="1" ht="14.45" customHeight="1" x14ac:dyDescent="0.25">
      <c r="A95" s="5"/>
      <c r="B95" s="76"/>
      <c r="C95" s="70"/>
      <c r="D95" s="70"/>
      <c r="E95" s="53"/>
      <c r="F95" s="53"/>
      <c r="G95" s="53"/>
      <c r="H95" s="53"/>
      <c r="I95" s="53"/>
      <c r="J95" s="53"/>
      <c r="K95" s="53"/>
      <c r="L95" s="53"/>
      <c r="M95" s="71"/>
      <c r="N95" s="71"/>
      <c r="O95" s="71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194"/>
      <c r="AC95" s="194"/>
      <c r="AD95" s="194"/>
      <c r="AE95" s="54"/>
      <c r="AF95" s="54"/>
    </row>
    <row r="96" spans="1:32" s="29" customFormat="1" ht="14.45" customHeight="1" x14ac:dyDescent="0.25">
      <c r="A96" s="5"/>
      <c r="B96" s="76"/>
      <c r="C96" s="70"/>
      <c r="D96" s="70"/>
      <c r="E96" s="53"/>
      <c r="F96" s="53"/>
      <c r="G96" s="53"/>
      <c r="H96" s="53"/>
      <c r="I96" s="53"/>
      <c r="J96" s="53"/>
      <c r="K96" s="53"/>
      <c r="L96" s="53"/>
      <c r="M96" s="71"/>
      <c r="N96" s="71"/>
      <c r="O96" s="71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194"/>
      <c r="AC96" s="194"/>
      <c r="AD96" s="194"/>
      <c r="AE96" s="54"/>
      <c r="AF96" s="54"/>
    </row>
    <row r="97" spans="1:250" s="29" customFormat="1" ht="14.45" customHeight="1" x14ac:dyDescent="0.25">
      <c r="A97" s="193" t="s">
        <v>148</v>
      </c>
      <c r="B97" s="76" t="s">
        <v>532</v>
      </c>
      <c r="C97" s="70"/>
      <c r="D97" s="70"/>
      <c r="E97" s="53"/>
      <c r="F97" s="53"/>
      <c r="G97" s="53"/>
      <c r="H97" s="53"/>
      <c r="I97" s="53"/>
      <c r="J97" s="53"/>
      <c r="K97" s="53"/>
      <c r="L97" s="53"/>
      <c r="M97" s="71"/>
      <c r="N97" s="71"/>
      <c r="O97" s="71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194"/>
      <c r="AC97" s="194"/>
      <c r="AD97" s="194"/>
      <c r="AE97" s="54"/>
      <c r="AF97" s="54"/>
    </row>
    <row r="98" spans="1:250" s="29" customFormat="1" ht="14.45" customHeight="1" x14ac:dyDescent="0.25">
      <c r="A98" s="193" t="s">
        <v>149</v>
      </c>
      <c r="B98" s="195" t="s">
        <v>536</v>
      </c>
      <c r="C98" s="196"/>
      <c r="D98" s="196"/>
      <c r="E98" s="197"/>
      <c r="F98" s="197"/>
      <c r="G98" s="197"/>
      <c r="H98" s="197"/>
      <c r="I98" s="197"/>
      <c r="J98" s="197"/>
      <c r="K98" s="197"/>
      <c r="L98" s="197"/>
      <c r="M98" s="198"/>
      <c r="N98" s="198"/>
      <c r="O98" s="198"/>
      <c r="P98" s="198">
        <v>13</v>
      </c>
      <c r="Q98" s="198">
        <f>P98</f>
        <v>13</v>
      </c>
      <c r="R98" s="199"/>
      <c r="S98" s="199"/>
      <c r="T98" s="198">
        <f>P98</f>
        <v>13</v>
      </c>
      <c r="U98" s="198"/>
      <c r="V98" s="199"/>
      <c r="W98" s="199">
        <f>Q98+M98+E98</f>
        <v>13</v>
      </c>
      <c r="X98" s="199"/>
      <c r="Y98" s="199"/>
      <c r="Z98" s="199"/>
      <c r="AA98" s="199"/>
      <c r="AB98" s="198">
        <f>T98+X98/2</f>
        <v>13</v>
      </c>
      <c r="AC98" s="198"/>
      <c r="AD98" s="198"/>
      <c r="AE98" s="199"/>
      <c r="AF98" s="199">
        <f>W98+AA98/2</f>
        <v>13</v>
      </c>
    </row>
    <row r="99" spans="1:250" s="29" customFormat="1" ht="14.45" customHeight="1" x14ac:dyDescent="0.25">
      <c r="A99" s="193" t="s">
        <v>150</v>
      </c>
      <c r="B99" s="195" t="s">
        <v>537</v>
      </c>
      <c r="C99" s="196"/>
      <c r="D99" s="196"/>
      <c r="E99" s="197"/>
      <c r="F99" s="197"/>
      <c r="G99" s="197"/>
      <c r="H99" s="197"/>
      <c r="I99" s="197"/>
      <c r="J99" s="197"/>
      <c r="K99" s="197"/>
      <c r="L99" s="197"/>
      <c r="M99" s="198"/>
      <c r="N99" s="198"/>
      <c r="O99" s="198"/>
      <c r="P99" s="198">
        <v>8</v>
      </c>
      <c r="Q99" s="198">
        <f>P99</f>
        <v>8</v>
      </c>
      <c r="R99" s="199"/>
      <c r="S99" s="199"/>
      <c r="T99" s="198">
        <f>P99</f>
        <v>8</v>
      </c>
      <c r="U99" s="198"/>
      <c r="V99" s="199"/>
      <c r="W99" s="199">
        <f>T99+V99</f>
        <v>8</v>
      </c>
      <c r="X99" s="199"/>
      <c r="Y99" s="199"/>
      <c r="Z99" s="199"/>
      <c r="AA99" s="199"/>
      <c r="AB99" s="198">
        <f>T99+X99/2</f>
        <v>8</v>
      </c>
      <c r="AC99" s="198"/>
      <c r="AD99" s="198"/>
      <c r="AE99" s="199"/>
      <c r="AF99" s="199">
        <f>W99+AA99/2</f>
        <v>8</v>
      </c>
    </row>
    <row r="100" spans="1:250" s="29" customFormat="1" ht="14.45" customHeight="1" x14ac:dyDescent="0.25">
      <c r="A100" s="193" t="s">
        <v>151</v>
      </c>
      <c r="B100" s="195" t="s">
        <v>538</v>
      </c>
      <c r="C100" s="196"/>
      <c r="D100" s="196"/>
      <c r="E100" s="197"/>
      <c r="F100" s="197"/>
      <c r="G100" s="197"/>
      <c r="H100" s="197"/>
      <c r="I100" s="197"/>
      <c r="J100" s="197"/>
      <c r="K100" s="197"/>
      <c r="L100" s="197"/>
      <c r="M100" s="198"/>
      <c r="N100" s="198"/>
      <c r="O100" s="198"/>
      <c r="P100" s="198">
        <v>3</v>
      </c>
      <c r="Q100" s="198">
        <f>P100</f>
        <v>3</v>
      </c>
      <c r="R100" s="199"/>
      <c r="S100" s="199"/>
      <c r="T100" s="198">
        <v>3</v>
      </c>
      <c r="U100" s="198"/>
      <c r="V100" s="199"/>
      <c r="W100" s="199">
        <v>3</v>
      </c>
      <c r="X100" s="199"/>
      <c r="Y100" s="199"/>
      <c r="Z100" s="199"/>
      <c r="AA100" s="199"/>
      <c r="AB100" s="198">
        <f>T100+X100/2</f>
        <v>3</v>
      </c>
      <c r="AC100" s="198"/>
      <c r="AD100" s="198"/>
      <c r="AE100" s="199"/>
      <c r="AF100" s="199">
        <f>W100+AA100/2</f>
        <v>3</v>
      </c>
    </row>
    <row r="101" spans="1:250" s="29" customFormat="1" ht="14.45" customHeight="1" x14ac:dyDescent="0.25">
      <c r="A101" s="193" t="s">
        <v>152</v>
      </c>
      <c r="B101" s="200" t="s">
        <v>539</v>
      </c>
      <c r="C101" s="201"/>
      <c r="D101" s="201"/>
      <c r="E101" s="202"/>
      <c r="F101" s="202"/>
      <c r="G101" s="202"/>
      <c r="H101" s="202"/>
      <c r="I101" s="202"/>
      <c r="J101" s="202"/>
      <c r="K101" s="202"/>
      <c r="L101" s="202"/>
      <c r="M101" s="198"/>
      <c r="N101" s="198"/>
      <c r="O101" s="198"/>
      <c r="P101" s="199">
        <f>P98+P99+P100</f>
        <v>24</v>
      </c>
      <c r="Q101" s="199">
        <f>P101</f>
        <v>24</v>
      </c>
      <c r="R101" s="199">
        <v>0</v>
      </c>
      <c r="S101" s="199">
        <f>S98+S99+S100</f>
        <v>0</v>
      </c>
      <c r="T101" s="199">
        <f>T98+T99+T100</f>
        <v>24</v>
      </c>
      <c r="U101" s="199"/>
      <c r="V101" s="199"/>
      <c r="W101" s="199">
        <f>W98+W99+W100</f>
        <v>24</v>
      </c>
      <c r="X101" s="199">
        <f>X98+X99+X100</f>
        <v>0</v>
      </c>
      <c r="Y101" s="199"/>
      <c r="Z101" s="199"/>
      <c r="AA101" s="199">
        <f>AA98+AA99+AA100</f>
        <v>0</v>
      </c>
      <c r="AB101" s="543">
        <f>T101+X101/2</f>
        <v>24</v>
      </c>
      <c r="AC101" s="543"/>
      <c r="AD101" s="543"/>
      <c r="AE101" s="606">
        <v>0</v>
      </c>
      <c r="AF101" s="543">
        <f>W101+AA101/2</f>
        <v>24</v>
      </c>
    </row>
    <row r="102" spans="1:250" ht="15.75" customHeight="1" x14ac:dyDescent="0.25">
      <c r="A102" s="193"/>
      <c r="B102" s="531"/>
      <c r="C102" s="532"/>
      <c r="D102" s="532"/>
      <c r="E102" s="533"/>
      <c r="F102" s="533"/>
      <c r="G102" s="533"/>
      <c r="H102" s="533"/>
      <c r="I102" s="533"/>
      <c r="J102" s="533"/>
      <c r="K102" s="533"/>
      <c r="L102" s="533"/>
      <c r="M102" s="534"/>
      <c r="N102" s="534"/>
      <c r="O102" s="534"/>
      <c r="P102" s="535"/>
      <c r="Q102" s="535"/>
      <c r="R102" s="535"/>
      <c r="S102" s="535"/>
      <c r="T102" s="535"/>
      <c r="U102" s="535"/>
      <c r="V102" s="535"/>
      <c r="W102" s="535"/>
      <c r="X102" s="535"/>
      <c r="Y102" s="535"/>
      <c r="Z102" s="535"/>
      <c r="AA102" s="535"/>
      <c r="AB102" s="535"/>
      <c r="AC102" s="535"/>
      <c r="AD102" s="535"/>
      <c r="AE102" s="535"/>
      <c r="AF102" s="536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  <c r="FY102" s="29"/>
      <c r="FZ102" s="29"/>
      <c r="GA102" s="29"/>
      <c r="GB102" s="29"/>
      <c r="GC102" s="29"/>
      <c r="GD102" s="29"/>
      <c r="GE102" s="29"/>
      <c r="GF102" s="29"/>
      <c r="GG102" s="29"/>
      <c r="GH102" s="29"/>
      <c r="GI102" s="29"/>
      <c r="GJ102" s="29"/>
      <c r="GK102" s="29"/>
      <c r="GL102" s="29"/>
      <c r="GM102" s="29"/>
      <c r="GN102" s="29"/>
      <c r="GO102" s="29"/>
      <c r="GP102" s="29"/>
      <c r="GQ102" s="29"/>
      <c r="GR102" s="29"/>
      <c r="GS102" s="29"/>
      <c r="GT102" s="29"/>
      <c r="GU102" s="29"/>
      <c r="GV102" s="29"/>
      <c r="GW102" s="29"/>
      <c r="GX102" s="29"/>
      <c r="GY102" s="29"/>
      <c r="GZ102" s="29"/>
      <c r="HA102" s="29"/>
      <c r="HB102" s="29"/>
      <c r="HC102" s="29"/>
      <c r="HD102" s="29"/>
      <c r="HE102" s="29"/>
      <c r="HF102" s="29"/>
      <c r="HG102" s="29"/>
      <c r="HH102" s="29"/>
      <c r="HI102" s="29"/>
      <c r="HJ102" s="29"/>
      <c r="HK102" s="29"/>
      <c r="HL102" s="29"/>
      <c r="HM102" s="29"/>
      <c r="HN102" s="29"/>
      <c r="HO102" s="29"/>
      <c r="HP102" s="29"/>
      <c r="HQ102" s="29"/>
      <c r="HR102" s="29"/>
      <c r="HS102" s="29"/>
      <c r="HT102" s="29"/>
      <c r="HU102" s="29"/>
      <c r="HV102" s="29"/>
      <c r="HW102" s="29"/>
      <c r="HX102" s="29"/>
      <c r="HY102" s="29"/>
      <c r="HZ102" s="29"/>
      <c r="IA102" s="29"/>
      <c r="IB102" s="29"/>
      <c r="IC102" s="29"/>
      <c r="ID102" s="29"/>
      <c r="IE102" s="29"/>
      <c r="IF102" s="29"/>
      <c r="IG102" s="29"/>
      <c r="IH102" s="29"/>
      <c r="II102" s="29"/>
      <c r="IJ102" s="29"/>
      <c r="IK102" s="29"/>
      <c r="IL102" s="29"/>
      <c r="IM102" s="29"/>
      <c r="IN102" s="29"/>
      <c r="IO102" s="29"/>
      <c r="IP102" s="29"/>
    </row>
    <row r="103" spans="1:250" s="29" customFormat="1" ht="14.45" customHeight="1" x14ac:dyDescent="0.25">
      <c r="A103" s="193"/>
      <c r="B103" s="51"/>
      <c r="C103" s="52"/>
      <c r="D103" s="52"/>
      <c r="E103" s="53"/>
      <c r="F103" s="53"/>
      <c r="G103" s="53"/>
      <c r="H103" s="53"/>
      <c r="I103" s="53"/>
      <c r="J103" s="53"/>
      <c r="K103" s="53"/>
      <c r="L103" s="53"/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58"/>
      <c r="X103" s="58"/>
      <c r="Y103" s="58"/>
      <c r="Z103" s="58"/>
      <c r="AA103" s="58"/>
      <c r="AB103" s="58"/>
      <c r="AC103" s="58"/>
      <c r="AD103" s="58"/>
      <c r="AE103" s="58"/>
      <c r="AF103" s="58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  <c r="HZ103" s="16"/>
      <c r="IA103" s="16"/>
      <c r="IB103" s="16"/>
      <c r="IC103" s="16"/>
      <c r="ID103" s="16"/>
      <c r="IE103" s="16"/>
      <c r="IF103" s="16"/>
      <c r="IG103" s="16"/>
      <c r="IH103" s="16"/>
      <c r="II103" s="16"/>
      <c r="IJ103" s="16"/>
      <c r="IK103" s="16"/>
      <c r="IL103" s="16"/>
      <c r="IM103" s="16"/>
      <c r="IN103" s="16"/>
      <c r="IO103" s="16"/>
      <c r="IP103" s="16"/>
    </row>
    <row r="104" spans="1:250" s="29" customFormat="1" ht="15.75" customHeight="1" x14ac:dyDescent="0.25">
      <c r="A104" s="193" t="s">
        <v>154</v>
      </c>
      <c r="B104" s="46" t="s">
        <v>706</v>
      </c>
      <c r="C104" s="47">
        <f>C24+C40+C64</f>
        <v>0</v>
      </c>
      <c r="D104" s="47"/>
      <c r="E104" s="47">
        <f>E24+E40+E64</f>
        <v>0</v>
      </c>
      <c r="F104" s="47"/>
      <c r="G104" s="47"/>
      <c r="H104" s="47"/>
      <c r="I104" s="47"/>
      <c r="J104" s="47">
        <f>J24+J40+J64</f>
        <v>0</v>
      </c>
      <c r="K104" s="47"/>
      <c r="L104" s="47"/>
      <c r="M104" s="47">
        <f>M24+M40+M64</f>
        <v>0</v>
      </c>
      <c r="N104" s="47">
        <f>N24+N40+N64</f>
        <v>0</v>
      </c>
      <c r="O104" s="47">
        <f>O24+O40+O64</f>
        <v>0</v>
      </c>
      <c r="P104" s="47">
        <f t="shared" ref="P104:AF104" si="17">P24+P40+P101+P93</f>
        <v>187</v>
      </c>
      <c r="Q104" s="47">
        <f t="shared" si="17"/>
        <v>187</v>
      </c>
      <c r="R104" s="47">
        <f t="shared" si="17"/>
        <v>1</v>
      </c>
      <c r="S104" s="47">
        <f t="shared" si="17"/>
        <v>1</v>
      </c>
      <c r="T104" s="47">
        <f t="shared" si="17"/>
        <v>187</v>
      </c>
      <c r="U104" s="47"/>
      <c r="V104" s="607">
        <f>V101+V93+V40+V24</f>
        <v>0</v>
      </c>
      <c r="W104" s="47">
        <f t="shared" si="17"/>
        <v>187</v>
      </c>
      <c r="X104" s="47">
        <f t="shared" si="17"/>
        <v>1</v>
      </c>
      <c r="Y104" s="47"/>
      <c r="Z104" s="47"/>
      <c r="AA104" s="47">
        <f t="shared" si="17"/>
        <v>1</v>
      </c>
      <c r="AB104" s="544">
        <f t="shared" si="17"/>
        <v>187.5</v>
      </c>
      <c r="AC104" s="544"/>
      <c r="AD104" s="544"/>
      <c r="AE104" s="544">
        <f t="shared" ref="AE104" si="18">AE101+AE93+AE40+AE24</f>
        <v>0</v>
      </c>
      <c r="AF104" s="544">
        <f t="shared" si="17"/>
        <v>187.5</v>
      </c>
    </row>
    <row r="105" spans="1:250" s="29" customFormat="1" ht="14.45" customHeight="1" x14ac:dyDescent="0.25">
      <c r="A105" s="193"/>
      <c r="B105" s="56"/>
      <c r="C105" s="57"/>
      <c r="D105" s="57"/>
      <c r="E105" s="58"/>
      <c r="F105" s="58"/>
      <c r="G105" s="58"/>
      <c r="H105" s="58"/>
      <c r="I105" s="58"/>
      <c r="J105" s="58"/>
      <c r="K105" s="58"/>
      <c r="L105" s="58"/>
      <c r="M105" s="59"/>
      <c r="N105" s="59"/>
      <c r="O105" s="59"/>
      <c r="P105" s="59"/>
      <c r="Q105" s="58"/>
      <c r="R105" s="58"/>
      <c r="S105" s="58"/>
      <c r="T105" s="58"/>
      <c r="U105" s="54"/>
      <c r="V105" s="54"/>
      <c r="W105" s="68"/>
      <c r="X105" s="69"/>
      <c r="Y105" s="69"/>
      <c r="Z105" s="69"/>
      <c r="AA105" s="69"/>
      <c r="AB105" s="351"/>
      <c r="AC105" s="351"/>
      <c r="AD105" s="351"/>
      <c r="AE105" s="351"/>
      <c r="AF105" s="351"/>
    </row>
    <row r="106" spans="1:250" ht="14.45" customHeight="1" x14ac:dyDescent="0.25">
      <c r="A106" s="193" t="s">
        <v>157</v>
      </c>
      <c r="B106" s="46" t="s">
        <v>623</v>
      </c>
      <c r="C106" s="75">
        <f>C10+C12+C104</f>
        <v>7</v>
      </c>
      <c r="D106" s="602">
        <f>D104+D12+D10</f>
        <v>0</v>
      </c>
      <c r="E106" s="608">
        <f>E10+E12+E104</f>
        <v>7</v>
      </c>
      <c r="F106" s="603">
        <f>F10++F12+F104</f>
        <v>1</v>
      </c>
      <c r="G106" s="603">
        <f>G104+G10+G12</f>
        <v>1</v>
      </c>
      <c r="H106" s="603">
        <f>H10+H12+H104</f>
        <v>-2</v>
      </c>
      <c r="I106" s="603">
        <f>I104+I12+I10</f>
        <v>0</v>
      </c>
      <c r="J106" s="75">
        <f>J10+J12+J104</f>
        <v>38</v>
      </c>
      <c r="K106" s="75">
        <f t="shared" ref="K106:L106" si="19">K10+K12+K104</f>
        <v>2</v>
      </c>
      <c r="L106" s="75">
        <f t="shared" si="19"/>
        <v>-2</v>
      </c>
      <c r="M106" s="75">
        <f>M10+M12+M104</f>
        <v>38</v>
      </c>
      <c r="N106" s="75">
        <f>N10+N12+N104</f>
        <v>0</v>
      </c>
      <c r="O106" s="75">
        <f>O10+O12+O104</f>
        <v>0</v>
      </c>
      <c r="P106" s="352">
        <f>P104</f>
        <v>187</v>
      </c>
      <c r="Q106" s="352">
        <f>Q10+Q12+Q104</f>
        <v>187</v>
      </c>
      <c r="R106" s="352">
        <f>R10+R12+R104</f>
        <v>1</v>
      </c>
      <c r="S106" s="352">
        <f>S10+S12+S104</f>
        <v>1</v>
      </c>
      <c r="T106" s="50">
        <f>C106+J106+P106</f>
        <v>232</v>
      </c>
      <c r="U106" s="603">
        <f>U12+U10</f>
        <v>2</v>
      </c>
      <c r="V106" s="603">
        <f>V10+V12+V104</f>
        <v>-2</v>
      </c>
      <c r="W106" s="191">
        <f>W104+W12+W10</f>
        <v>232</v>
      </c>
      <c r="X106" s="702">
        <f>X10+X12+X104</f>
        <v>2</v>
      </c>
      <c r="Y106" s="702">
        <f t="shared" ref="Y106:Z106" si="20">Y10+Y12+Y104</f>
        <v>1</v>
      </c>
      <c r="Z106" s="702">
        <f t="shared" si="20"/>
        <v>-2</v>
      </c>
      <c r="AA106" s="364">
        <f>AA10+AA12+AA104</f>
        <v>1</v>
      </c>
      <c r="AB106" s="631">
        <f>AB10+AB12+AB104</f>
        <v>233</v>
      </c>
      <c r="AC106" s="631">
        <f t="shared" ref="AC106:AD106" si="21">AC10+AC12+AC104</f>
        <v>2</v>
      </c>
      <c r="AD106" s="631">
        <f t="shared" si="21"/>
        <v>0.5</v>
      </c>
      <c r="AE106" s="631">
        <f>AE10+AE12+AE104</f>
        <v>-3</v>
      </c>
      <c r="AF106" s="386">
        <f>AF104+AF12+AF10</f>
        <v>232.5</v>
      </c>
      <c r="AG106" s="424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  <c r="FY106" s="29"/>
      <c r="FZ106" s="29"/>
      <c r="GA106" s="29"/>
      <c r="GB106" s="29"/>
      <c r="GC106" s="29"/>
      <c r="GD106" s="29"/>
      <c r="GE106" s="29"/>
      <c r="GF106" s="29"/>
      <c r="GG106" s="29"/>
      <c r="GH106" s="29"/>
      <c r="GI106" s="29"/>
      <c r="GJ106" s="29"/>
      <c r="GK106" s="29"/>
      <c r="GL106" s="29"/>
      <c r="GM106" s="29"/>
      <c r="GN106" s="29"/>
      <c r="GO106" s="29"/>
      <c r="GP106" s="29"/>
      <c r="GQ106" s="29"/>
      <c r="GR106" s="29"/>
      <c r="GS106" s="29"/>
      <c r="GT106" s="29"/>
      <c r="GU106" s="29"/>
      <c r="GV106" s="29"/>
      <c r="GW106" s="29"/>
      <c r="GX106" s="29"/>
      <c r="GY106" s="29"/>
      <c r="GZ106" s="29"/>
      <c r="HA106" s="29"/>
      <c r="HB106" s="29"/>
      <c r="HC106" s="29"/>
      <c r="HD106" s="29"/>
      <c r="HE106" s="29"/>
      <c r="HF106" s="29"/>
      <c r="HG106" s="29"/>
      <c r="HH106" s="29"/>
      <c r="HI106" s="29"/>
      <c r="HJ106" s="29"/>
      <c r="HK106" s="29"/>
      <c r="HL106" s="29"/>
      <c r="HM106" s="29"/>
      <c r="HN106" s="29"/>
      <c r="HO106" s="29"/>
      <c r="HP106" s="29"/>
      <c r="HQ106" s="29"/>
      <c r="HR106" s="29"/>
      <c r="HS106" s="29"/>
      <c r="HT106" s="29"/>
      <c r="HU106" s="29"/>
      <c r="HV106" s="29"/>
      <c r="HW106" s="29"/>
      <c r="HX106" s="29"/>
      <c r="HY106" s="29"/>
      <c r="HZ106" s="29"/>
      <c r="IA106" s="29"/>
      <c r="IB106" s="29"/>
      <c r="IC106" s="29"/>
      <c r="ID106" s="29"/>
      <c r="IE106" s="29"/>
      <c r="IF106" s="29"/>
      <c r="IG106" s="29"/>
      <c r="IH106" s="29"/>
      <c r="II106" s="29"/>
      <c r="IJ106" s="29"/>
      <c r="IK106" s="29"/>
      <c r="IL106" s="29"/>
      <c r="IM106" s="29"/>
      <c r="IN106" s="29"/>
      <c r="IO106" s="29"/>
      <c r="IP106" s="29"/>
    </row>
    <row r="107" spans="1:250" ht="15.75" customHeight="1" x14ac:dyDescent="0.25">
      <c r="B107" s="76"/>
      <c r="C107" s="70"/>
      <c r="D107" s="70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365"/>
      <c r="U107" s="365"/>
      <c r="V107" s="441"/>
      <c r="W107" s="365"/>
      <c r="X107" s="441"/>
      <c r="Y107" s="441"/>
      <c r="Z107" s="441"/>
      <c r="AA107" s="441"/>
      <c r="AB107" s="441"/>
      <c r="AC107" s="441"/>
      <c r="AD107" s="441"/>
      <c r="AE107" s="441"/>
      <c r="AF107" s="441"/>
    </row>
    <row r="108" spans="1:250" ht="15.75" customHeight="1" x14ac:dyDescent="0.25">
      <c r="B108" s="1448"/>
      <c r="C108" s="1448"/>
      <c r="D108" s="1448"/>
      <c r="E108" s="1448"/>
      <c r="F108" s="1448"/>
      <c r="G108" s="1448"/>
      <c r="H108" s="1448"/>
      <c r="I108" s="1448"/>
      <c r="J108" s="1448"/>
      <c r="K108" s="1448"/>
      <c r="L108" s="1448"/>
      <c r="M108" s="1448"/>
      <c r="N108" s="1448"/>
      <c r="O108" s="1448"/>
      <c r="P108" s="1448"/>
      <c r="Q108" s="365"/>
      <c r="R108" s="54"/>
      <c r="S108" s="54"/>
      <c r="T108" s="365"/>
      <c r="U108" s="365"/>
      <c r="V108" s="441"/>
      <c r="W108" s="365"/>
      <c r="X108" s="441"/>
      <c r="Y108" s="441"/>
      <c r="Z108" s="441"/>
      <c r="AA108" s="441"/>
      <c r="AB108" s="441"/>
      <c r="AC108" s="441"/>
      <c r="AD108" s="441"/>
      <c r="AE108" s="441"/>
      <c r="AF108" s="441"/>
      <c r="AG108" s="366"/>
    </row>
    <row r="109" spans="1:250" ht="13.9" customHeight="1" x14ac:dyDescent="0.25">
      <c r="A109" s="16"/>
      <c r="B109" s="1449"/>
      <c r="C109" s="1449"/>
      <c r="D109" s="1449"/>
      <c r="E109" s="1449"/>
      <c r="F109" s="1449"/>
      <c r="G109" s="1449"/>
      <c r="H109" s="1449"/>
      <c r="I109" s="1449"/>
      <c r="J109" s="1449"/>
      <c r="K109" s="1449"/>
      <c r="L109" s="1449"/>
      <c r="M109" s="1449"/>
      <c r="N109" s="1449"/>
      <c r="O109" s="1449"/>
      <c r="P109" s="1449"/>
      <c r="Q109" s="1449"/>
      <c r="R109" s="1449"/>
      <c r="S109" s="1449"/>
      <c r="T109" s="1449"/>
      <c r="U109" s="1449"/>
      <c r="V109" s="1449"/>
      <c r="W109" s="1449"/>
      <c r="X109" s="1449"/>
      <c r="Y109" s="1449"/>
      <c r="Z109" s="1449"/>
      <c r="AA109" s="1449"/>
      <c r="AB109" s="1449"/>
      <c r="AC109" s="1449"/>
      <c r="AD109" s="1449"/>
      <c r="AE109" s="1449"/>
      <c r="AF109" s="1449"/>
      <c r="AG109" s="366"/>
    </row>
    <row r="110" spans="1:250" ht="13.9" customHeight="1" x14ac:dyDescent="0.25">
      <c r="B110" s="23" t="s">
        <v>289</v>
      </c>
    </row>
  </sheetData>
  <sheetProtection selectLockedCells="1" selectUnlockedCells="1"/>
  <mergeCells count="29">
    <mergeCell ref="B108:P108"/>
    <mergeCell ref="B109:AF109"/>
    <mergeCell ref="C7:E7"/>
    <mergeCell ref="C6:I6"/>
    <mergeCell ref="J6:O6"/>
    <mergeCell ref="P6:S6"/>
    <mergeCell ref="T6:AA6"/>
    <mergeCell ref="B6:B8"/>
    <mergeCell ref="P7:Q7"/>
    <mergeCell ref="R7:S7"/>
    <mergeCell ref="T7:W7"/>
    <mergeCell ref="X7:AA7"/>
    <mergeCell ref="N7:O7"/>
    <mergeCell ref="A1:AF1"/>
    <mergeCell ref="A2:AF2"/>
    <mergeCell ref="A3:AF3"/>
    <mergeCell ref="F5:I5"/>
    <mergeCell ref="J5:M5"/>
    <mergeCell ref="P5:Q5"/>
    <mergeCell ref="R5:S5"/>
    <mergeCell ref="T5:W5"/>
    <mergeCell ref="X5:AA5"/>
    <mergeCell ref="AB5:AF5"/>
    <mergeCell ref="A5:A8"/>
    <mergeCell ref="C5:E5"/>
    <mergeCell ref="N5:O5"/>
    <mergeCell ref="AB6:AF7"/>
    <mergeCell ref="F7:I7"/>
    <mergeCell ref="J7:M7"/>
  </mergeCells>
  <pageMargins left="0.39370078740157483" right="0.19685039370078741" top="0.19685039370078741" bottom="0.19685039370078741" header="0.51181102362204722" footer="0.51181102362204722"/>
  <pageSetup paperSize="9" scale="57" firstPageNumber="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sqref="A1:H1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441" t="s">
        <v>938</v>
      </c>
      <c r="B1" s="1441"/>
      <c r="C1" s="1441"/>
      <c r="D1" s="1441"/>
      <c r="E1" s="1441"/>
      <c r="F1" s="1441"/>
      <c r="G1" s="1441"/>
      <c r="H1" s="1441"/>
      <c r="I1" s="488"/>
      <c r="J1" s="488"/>
      <c r="K1" s="488"/>
      <c r="L1" s="488"/>
      <c r="M1" s="488"/>
      <c r="N1" s="488"/>
      <c r="O1" s="488"/>
      <c r="P1" s="488"/>
      <c r="Q1" s="488"/>
      <c r="R1" s="488"/>
      <c r="S1" s="488"/>
      <c r="T1" s="488"/>
      <c r="U1" s="488"/>
      <c r="V1" s="488"/>
      <c r="W1" s="488"/>
      <c r="X1" s="488"/>
      <c r="Y1" s="488"/>
      <c r="Z1" s="488"/>
      <c r="AA1" s="488"/>
      <c r="AB1" s="488"/>
      <c r="AC1" s="488"/>
      <c r="AD1" s="488"/>
      <c r="AE1" s="488"/>
      <c r="AF1" s="488"/>
      <c r="AG1" s="488"/>
      <c r="AH1" s="488"/>
      <c r="AI1" s="488"/>
    </row>
    <row r="2" spans="1:35" x14ac:dyDescent="0.2">
      <c r="C2" t="s">
        <v>339</v>
      </c>
    </row>
    <row r="3" spans="1:35" ht="14.25" x14ac:dyDescent="0.2">
      <c r="A3" s="1453" t="s">
        <v>328</v>
      </c>
      <c r="B3" s="1453"/>
      <c r="C3" s="1453"/>
      <c r="D3" s="1453"/>
      <c r="E3" s="1453"/>
      <c r="F3" s="1453"/>
      <c r="G3" s="1453"/>
      <c r="H3" s="1453"/>
    </row>
    <row r="4" spans="1:35" ht="14.25" x14ac:dyDescent="0.2">
      <c r="A4" s="1453" t="s">
        <v>329</v>
      </c>
      <c r="B4" s="1453"/>
      <c r="C4" s="1453"/>
      <c r="D4" s="1453"/>
      <c r="E4" s="1453"/>
      <c r="F4" s="1453"/>
      <c r="G4" s="1453"/>
      <c r="H4" s="1453"/>
    </row>
    <row r="5" spans="1:35" ht="14.25" x14ac:dyDescent="0.2">
      <c r="A5" s="1454" t="s">
        <v>55</v>
      </c>
      <c r="B5" s="1454"/>
      <c r="C5" s="1454"/>
      <c r="D5" s="1454"/>
      <c r="E5" s="1454"/>
      <c r="F5" s="1454"/>
      <c r="G5" s="1454"/>
      <c r="H5" s="1454"/>
    </row>
    <row r="6" spans="1:35" ht="15" x14ac:dyDescent="0.25">
      <c r="A6" s="282"/>
      <c r="B6" s="450"/>
      <c r="C6" s="450"/>
      <c r="D6" s="450"/>
      <c r="E6" s="450"/>
    </row>
    <row r="7" spans="1:35" ht="14.25" customHeight="1" x14ac:dyDescent="0.2">
      <c r="A7" s="1455"/>
      <c r="B7" s="451" t="s">
        <v>57</v>
      </c>
      <c r="C7" s="451" t="s">
        <v>58</v>
      </c>
      <c r="D7" s="451" t="s">
        <v>59</v>
      </c>
      <c r="E7" s="451" t="s">
        <v>60</v>
      </c>
      <c r="F7" s="452" t="s">
        <v>485</v>
      </c>
      <c r="G7" s="452" t="s">
        <v>486</v>
      </c>
      <c r="H7" s="452" t="s">
        <v>487</v>
      </c>
    </row>
    <row r="8" spans="1:35" ht="14.25" customHeight="1" x14ac:dyDescent="0.2">
      <c r="A8" s="1455"/>
      <c r="B8" s="1456" t="s">
        <v>806</v>
      </c>
      <c r="C8" s="1457" t="s">
        <v>331</v>
      </c>
      <c r="D8" s="1458" t="s">
        <v>332</v>
      </c>
      <c r="E8" s="1459"/>
      <c r="F8" s="1460"/>
    </row>
    <row r="9" spans="1:35" ht="15.75" x14ac:dyDescent="0.25">
      <c r="A9" s="1455"/>
      <c r="B9" s="1456"/>
      <c r="C9" s="1457"/>
      <c r="D9" s="1458"/>
      <c r="E9" s="285">
        <v>2015</v>
      </c>
      <c r="F9" s="453">
        <v>2017</v>
      </c>
      <c r="G9" s="475">
        <v>2017</v>
      </c>
      <c r="H9" s="475">
        <v>2018</v>
      </c>
    </row>
    <row r="10" spans="1:35" ht="15" x14ac:dyDescent="0.25">
      <c r="A10" s="454"/>
      <c r="B10" s="455" t="s">
        <v>338</v>
      </c>
      <c r="C10" s="456"/>
      <c r="D10" s="476"/>
      <c r="E10" s="456"/>
    </row>
    <row r="11" spans="1:35" ht="15" x14ac:dyDescent="0.25">
      <c r="A11" s="457">
        <v>1</v>
      </c>
      <c r="B11" s="458" t="s">
        <v>807</v>
      </c>
      <c r="C11" s="459" t="s">
        <v>808</v>
      </c>
      <c r="D11" s="477" t="s">
        <v>344</v>
      </c>
      <c r="E11" s="460">
        <v>41</v>
      </c>
      <c r="F11" s="460">
        <v>50</v>
      </c>
      <c r="G11" s="460">
        <v>50</v>
      </c>
      <c r="H11" s="460">
        <v>50</v>
      </c>
    </row>
    <row r="12" spans="1:35" ht="15" x14ac:dyDescent="0.25">
      <c r="A12" s="457">
        <v>2</v>
      </c>
      <c r="B12" s="458" t="s">
        <v>809</v>
      </c>
      <c r="C12" s="459" t="s">
        <v>810</v>
      </c>
      <c r="D12" s="477" t="s">
        <v>344</v>
      </c>
      <c r="E12" s="460">
        <v>125</v>
      </c>
      <c r="F12" s="460">
        <v>147</v>
      </c>
      <c r="G12" s="460">
        <v>147</v>
      </c>
      <c r="H12" s="460">
        <v>147</v>
      </c>
    </row>
    <row r="13" spans="1:35" ht="25.5" customHeight="1" x14ac:dyDescent="0.25">
      <c r="A13" s="457">
        <v>3</v>
      </c>
      <c r="B13" s="461" t="s">
        <v>811</v>
      </c>
      <c r="C13" s="462" t="s">
        <v>754</v>
      </c>
      <c r="D13" s="478" t="s">
        <v>344</v>
      </c>
      <c r="E13" s="463"/>
      <c r="F13" s="463">
        <v>240</v>
      </c>
      <c r="G13" s="463">
        <v>240</v>
      </c>
      <c r="H13" s="463">
        <v>240</v>
      </c>
    </row>
    <row r="14" spans="1:35" ht="15" x14ac:dyDescent="0.25">
      <c r="A14" s="457">
        <v>4</v>
      </c>
      <c r="B14" s="458" t="s">
        <v>387</v>
      </c>
      <c r="C14" s="459" t="s">
        <v>812</v>
      </c>
      <c r="D14" s="477" t="s">
        <v>344</v>
      </c>
      <c r="E14" s="460">
        <v>330</v>
      </c>
      <c r="F14" s="460">
        <v>335</v>
      </c>
      <c r="G14" s="460">
        <v>335</v>
      </c>
      <c r="H14" s="460">
        <v>335</v>
      </c>
    </row>
    <row r="15" spans="1:35" ht="15" x14ac:dyDescent="0.25">
      <c r="A15" s="457">
        <v>5</v>
      </c>
      <c r="B15" s="458" t="s">
        <v>389</v>
      </c>
      <c r="C15" s="459" t="s">
        <v>813</v>
      </c>
      <c r="D15" s="477" t="s">
        <v>344</v>
      </c>
      <c r="E15" s="460">
        <v>930</v>
      </c>
      <c r="F15" s="460">
        <v>960</v>
      </c>
      <c r="G15" s="460">
        <v>960</v>
      </c>
      <c r="H15" s="460">
        <v>960</v>
      </c>
    </row>
    <row r="16" spans="1:35" ht="15" x14ac:dyDescent="0.25">
      <c r="A16" s="457">
        <v>6</v>
      </c>
      <c r="B16" s="458" t="s">
        <v>814</v>
      </c>
      <c r="C16" s="459" t="s">
        <v>815</v>
      </c>
      <c r="D16" s="477" t="s">
        <v>344</v>
      </c>
      <c r="E16" s="460"/>
      <c r="F16" s="460">
        <v>700</v>
      </c>
      <c r="G16" s="460">
        <v>700</v>
      </c>
      <c r="H16" s="460">
        <v>700</v>
      </c>
    </row>
    <row r="17" spans="1:8" ht="15" x14ac:dyDescent="0.25">
      <c r="A17" s="457">
        <v>7</v>
      </c>
      <c r="B17" s="459" t="s">
        <v>407</v>
      </c>
      <c r="C17" s="459" t="s">
        <v>816</v>
      </c>
      <c r="D17" s="479" t="s">
        <v>344</v>
      </c>
      <c r="E17" s="460">
        <v>225</v>
      </c>
      <c r="F17" s="460">
        <v>271</v>
      </c>
      <c r="G17" s="460">
        <v>271</v>
      </c>
      <c r="H17" s="460">
        <v>271</v>
      </c>
    </row>
    <row r="18" spans="1:8" ht="24.75" customHeight="1" x14ac:dyDescent="0.25">
      <c r="A18" s="457">
        <v>8</v>
      </c>
      <c r="B18" s="464" t="s">
        <v>817</v>
      </c>
      <c r="C18" s="465" t="s">
        <v>818</v>
      </c>
      <c r="D18" s="480" t="s">
        <v>344</v>
      </c>
      <c r="E18" s="466">
        <v>233</v>
      </c>
      <c r="F18" s="466">
        <v>236</v>
      </c>
      <c r="G18" s="466">
        <v>236</v>
      </c>
      <c r="H18" s="466">
        <v>236</v>
      </c>
    </row>
    <row r="19" spans="1:8" ht="20.25" customHeight="1" x14ac:dyDescent="0.25">
      <c r="A19" s="457">
        <v>9</v>
      </c>
      <c r="B19" s="464" t="s">
        <v>413</v>
      </c>
      <c r="C19" s="465" t="s">
        <v>819</v>
      </c>
      <c r="D19" s="480" t="s">
        <v>344</v>
      </c>
      <c r="E19" s="466">
        <v>250</v>
      </c>
      <c r="F19" s="466">
        <v>200</v>
      </c>
      <c r="G19" s="466">
        <v>200</v>
      </c>
      <c r="H19" s="466">
        <v>200</v>
      </c>
    </row>
    <row r="20" spans="1:8" ht="27.75" customHeight="1" x14ac:dyDescent="0.25">
      <c r="A20" s="457">
        <v>10</v>
      </c>
      <c r="B20" s="464" t="s">
        <v>424</v>
      </c>
      <c r="C20" s="465" t="s">
        <v>820</v>
      </c>
      <c r="D20" s="480" t="s">
        <v>344</v>
      </c>
      <c r="E20" s="466">
        <v>1800</v>
      </c>
      <c r="F20" s="466">
        <v>1800</v>
      </c>
      <c r="G20" s="466">
        <v>1800</v>
      </c>
      <c r="H20" s="466">
        <v>1800</v>
      </c>
    </row>
    <row r="21" spans="1:8" ht="28.5" customHeight="1" x14ac:dyDescent="0.25">
      <c r="A21" s="457">
        <v>11</v>
      </c>
      <c r="B21" s="464" t="s">
        <v>426</v>
      </c>
      <c r="C21" s="465" t="s">
        <v>821</v>
      </c>
      <c r="D21" s="480" t="s">
        <v>344</v>
      </c>
      <c r="E21" s="466">
        <v>2000</v>
      </c>
      <c r="F21" s="466">
        <v>2000</v>
      </c>
      <c r="G21" s="466">
        <v>2000</v>
      </c>
      <c r="H21" s="466">
        <v>2000</v>
      </c>
    </row>
    <row r="22" spans="1:8" ht="48" customHeight="1" x14ac:dyDescent="0.2">
      <c r="A22" s="481">
        <v>12</v>
      </c>
      <c r="B22" s="467" t="s">
        <v>822</v>
      </c>
      <c r="C22" s="482" t="s">
        <v>823</v>
      </c>
      <c r="D22" s="483" t="s">
        <v>344</v>
      </c>
      <c r="E22" s="484"/>
      <c r="F22" s="484">
        <v>97</v>
      </c>
      <c r="G22" s="484">
        <v>97</v>
      </c>
      <c r="H22" s="484">
        <v>97</v>
      </c>
    </row>
    <row r="23" spans="1:8" ht="30" customHeight="1" x14ac:dyDescent="0.25">
      <c r="A23" s="457">
        <v>13</v>
      </c>
      <c r="B23" s="464" t="s">
        <v>824</v>
      </c>
      <c r="C23" s="465" t="s">
        <v>825</v>
      </c>
      <c r="D23" s="480">
        <v>43465</v>
      </c>
      <c r="E23" s="466"/>
      <c r="F23" s="466">
        <v>991</v>
      </c>
      <c r="G23" s="466">
        <v>991</v>
      </c>
      <c r="H23" s="466">
        <v>991</v>
      </c>
    </row>
    <row r="24" spans="1:8" ht="33" customHeight="1" x14ac:dyDescent="0.25">
      <c r="A24" s="457">
        <v>14</v>
      </c>
      <c r="B24" s="464" t="s">
        <v>826</v>
      </c>
      <c r="C24" s="465" t="s">
        <v>827</v>
      </c>
      <c r="D24" s="480" t="s">
        <v>344</v>
      </c>
      <c r="E24" s="466"/>
      <c r="F24" s="466">
        <v>515</v>
      </c>
      <c r="G24" s="466">
        <v>515</v>
      </c>
      <c r="H24" s="466">
        <v>515</v>
      </c>
    </row>
    <row r="25" spans="1:8" ht="15" x14ac:dyDescent="0.25">
      <c r="A25" s="457">
        <v>17</v>
      </c>
      <c r="B25" s="469" t="s">
        <v>828</v>
      </c>
      <c r="C25" s="469" t="s">
        <v>829</v>
      </c>
      <c r="D25" s="485">
        <v>43009</v>
      </c>
      <c r="E25" s="470"/>
      <c r="F25" s="471">
        <v>3500</v>
      </c>
      <c r="G25" s="471">
        <v>3500</v>
      </c>
      <c r="H25" s="471">
        <v>3500</v>
      </c>
    </row>
    <row r="26" spans="1:8" ht="15" x14ac:dyDescent="0.25">
      <c r="A26" s="457">
        <v>22</v>
      </c>
      <c r="B26" s="469" t="s">
        <v>830</v>
      </c>
      <c r="C26" s="469" t="s">
        <v>831</v>
      </c>
      <c r="D26" s="485" t="s">
        <v>344</v>
      </c>
      <c r="E26" s="472"/>
      <c r="F26" s="471">
        <v>248</v>
      </c>
      <c r="G26" s="471">
        <v>248</v>
      </c>
      <c r="H26" s="471">
        <v>248</v>
      </c>
    </row>
    <row r="27" spans="1:8" ht="15.75" x14ac:dyDescent="0.25">
      <c r="A27" s="457">
        <v>23</v>
      </c>
      <c r="B27" s="469" t="s">
        <v>832</v>
      </c>
      <c r="C27" s="469" t="s">
        <v>833</v>
      </c>
      <c r="D27" s="474" t="s">
        <v>344</v>
      </c>
      <c r="E27" s="473"/>
      <c r="F27" s="471">
        <v>168</v>
      </c>
      <c r="G27" s="471">
        <v>168</v>
      </c>
      <c r="H27" s="471">
        <v>168</v>
      </c>
    </row>
    <row r="28" spans="1:8" ht="15.75" x14ac:dyDescent="0.25">
      <c r="A28" s="486">
        <v>24</v>
      </c>
      <c r="B28" s="469" t="s">
        <v>834</v>
      </c>
      <c r="C28" s="469" t="s">
        <v>835</v>
      </c>
      <c r="D28" s="474" t="s">
        <v>344</v>
      </c>
      <c r="E28" s="473"/>
      <c r="F28" s="471">
        <v>76</v>
      </c>
      <c r="G28" s="471">
        <v>76</v>
      </c>
      <c r="H28" s="471">
        <v>76</v>
      </c>
    </row>
    <row r="29" spans="1:8" ht="15.75" x14ac:dyDescent="0.25">
      <c r="A29" s="457">
        <v>25</v>
      </c>
      <c r="B29" s="473"/>
      <c r="C29" s="469" t="s">
        <v>836</v>
      </c>
      <c r="D29" s="474" t="s">
        <v>344</v>
      </c>
      <c r="E29" s="473"/>
      <c r="F29" s="468">
        <v>127</v>
      </c>
      <c r="G29" s="468">
        <v>127</v>
      </c>
      <c r="H29" s="468">
        <v>127</v>
      </c>
    </row>
    <row r="30" spans="1:8" ht="15" x14ac:dyDescent="0.25">
      <c r="A30" s="457">
        <v>26</v>
      </c>
      <c r="B30" s="469" t="s">
        <v>837</v>
      </c>
      <c r="C30" s="469" t="s">
        <v>838</v>
      </c>
      <c r="D30" s="485">
        <v>42855</v>
      </c>
      <c r="E30" s="472"/>
      <c r="F30" s="471">
        <v>1531</v>
      </c>
      <c r="G30" s="471">
        <v>1531</v>
      </c>
      <c r="H30" s="471">
        <v>1531</v>
      </c>
    </row>
    <row r="31" spans="1:8" ht="15" x14ac:dyDescent="0.25">
      <c r="A31" s="457">
        <v>27</v>
      </c>
      <c r="B31" s="469" t="s">
        <v>794</v>
      </c>
      <c r="C31" s="469" t="s">
        <v>839</v>
      </c>
      <c r="D31" s="485">
        <v>42855</v>
      </c>
      <c r="E31" s="472"/>
      <c r="F31" s="471">
        <v>3446</v>
      </c>
      <c r="G31" s="471">
        <v>3446</v>
      </c>
      <c r="H31" s="471">
        <v>3446</v>
      </c>
    </row>
    <row r="32" spans="1:8" ht="15" x14ac:dyDescent="0.25">
      <c r="A32" s="457">
        <v>28</v>
      </c>
      <c r="B32" s="469" t="s">
        <v>792</v>
      </c>
      <c r="C32" s="469" t="s">
        <v>840</v>
      </c>
      <c r="D32" s="485">
        <v>42825</v>
      </c>
      <c r="E32" s="472"/>
      <c r="F32" s="471">
        <v>1727</v>
      </c>
      <c r="G32" s="471">
        <v>1727</v>
      </c>
      <c r="H32" s="471">
        <v>1727</v>
      </c>
    </row>
    <row r="33" spans="1:8" ht="15" x14ac:dyDescent="0.25">
      <c r="A33" s="457">
        <v>29</v>
      </c>
      <c r="B33" s="469" t="s">
        <v>841</v>
      </c>
      <c r="C33" s="469" t="s">
        <v>842</v>
      </c>
      <c r="D33" s="485">
        <v>42916</v>
      </c>
      <c r="E33" s="470"/>
      <c r="F33" s="471">
        <v>1270</v>
      </c>
      <c r="G33" s="471">
        <v>1270</v>
      </c>
      <c r="H33" s="471">
        <v>1270</v>
      </c>
    </row>
    <row r="34" spans="1:8" ht="15" x14ac:dyDescent="0.25">
      <c r="A34" s="457">
        <v>30</v>
      </c>
      <c r="B34" s="469"/>
      <c r="C34" s="469" t="s">
        <v>843</v>
      </c>
      <c r="D34" s="485" t="s">
        <v>344</v>
      </c>
      <c r="E34" s="470"/>
      <c r="F34" s="471">
        <v>355</v>
      </c>
      <c r="G34" s="471">
        <v>355</v>
      </c>
      <c r="H34" s="471">
        <v>355</v>
      </c>
    </row>
    <row r="35" spans="1:8" ht="15" x14ac:dyDescent="0.25">
      <c r="A35" s="457">
        <v>31</v>
      </c>
      <c r="B35" s="469"/>
      <c r="C35" s="469" t="s">
        <v>844</v>
      </c>
      <c r="D35" s="485" t="s">
        <v>344</v>
      </c>
      <c r="E35" s="470"/>
      <c r="F35" s="471">
        <v>321</v>
      </c>
      <c r="G35" s="471">
        <v>321</v>
      </c>
      <c r="H35" s="471">
        <v>321</v>
      </c>
    </row>
    <row r="36" spans="1:8" ht="15" x14ac:dyDescent="0.25">
      <c r="A36" s="457">
        <v>32</v>
      </c>
      <c r="B36" s="469"/>
      <c r="C36" s="469" t="s">
        <v>845</v>
      </c>
      <c r="D36" s="485" t="s">
        <v>344</v>
      </c>
      <c r="E36" s="470"/>
      <c r="F36" s="471">
        <v>458</v>
      </c>
      <c r="G36" s="471">
        <v>458</v>
      </c>
      <c r="H36" s="471">
        <v>458</v>
      </c>
    </row>
    <row r="37" spans="1:8" ht="15" x14ac:dyDescent="0.25">
      <c r="A37" s="457">
        <v>33</v>
      </c>
      <c r="B37" s="469" t="s">
        <v>920</v>
      </c>
      <c r="C37" s="469" t="s">
        <v>921</v>
      </c>
      <c r="D37" s="485" t="s">
        <v>344</v>
      </c>
      <c r="E37" s="470"/>
      <c r="F37" s="471">
        <v>131</v>
      </c>
      <c r="G37" s="471">
        <v>131</v>
      </c>
      <c r="H37" s="471">
        <v>131</v>
      </c>
    </row>
    <row r="38" spans="1:8" ht="30" x14ac:dyDescent="0.25">
      <c r="A38" s="457">
        <v>34</v>
      </c>
      <c r="B38" s="469" t="s">
        <v>922</v>
      </c>
      <c r="C38" s="537" t="s">
        <v>923</v>
      </c>
      <c r="D38" s="485" t="s">
        <v>344</v>
      </c>
      <c r="E38" s="470"/>
      <c r="F38" s="471">
        <v>686</v>
      </c>
      <c r="G38" s="471">
        <v>686</v>
      </c>
      <c r="H38" s="471">
        <v>686</v>
      </c>
    </row>
    <row r="39" spans="1:8" ht="15" x14ac:dyDescent="0.25">
      <c r="A39" s="457"/>
      <c r="B39" s="469"/>
      <c r="C39" s="537" t="s">
        <v>924</v>
      </c>
      <c r="D39" s="485" t="s">
        <v>344</v>
      </c>
      <c r="E39" s="470"/>
      <c r="F39" s="471">
        <v>550</v>
      </c>
      <c r="G39" s="471">
        <v>550</v>
      </c>
      <c r="H39" s="471">
        <v>550</v>
      </c>
    </row>
    <row r="40" spans="1:8" ht="15" x14ac:dyDescent="0.25">
      <c r="A40" s="457"/>
      <c r="B40" s="469"/>
      <c r="C40" s="537" t="s">
        <v>919</v>
      </c>
      <c r="D40" s="485" t="s">
        <v>344</v>
      </c>
      <c r="E40" s="470"/>
      <c r="F40" s="471">
        <v>4000</v>
      </c>
      <c r="G40" s="471">
        <v>4000</v>
      </c>
      <c r="H40" s="471">
        <v>4000</v>
      </c>
    </row>
    <row r="41" spans="1:8" ht="15.75" x14ac:dyDescent="0.25">
      <c r="E41" s="487">
        <v>5934</v>
      </c>
      <c r="F41" s="487">
        <f>SUM(F11:F40)</f>
        <v>27136</v>
      </c>
      <c r="G41" s="487">
        <f>SUM(G11:G40)</f>
        <v>27136</v>
      </c>
      <c r="H41" s="487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75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461" t="s">
        <v>1197</v>
      </c>
      <c r="B1" s="1461"/>
      <c r="C1" s="1461"/>
      <c r="D1" s="1461"/>
      <c r="E1" s="1461"/>
      <c r="F1" s="1461"/>
      <c r="G1" s="1461"/>
      <c r="H1" s="1461"/>
    </row>
    <row r="2" spans="1:8" x14ac:dyDescent="0.2">
      <c r="A2" s="586"/>
      <c r="B2" s="586"/>
      <c r="C2" s="586"/>
      <c r="D2" s="587"/>
      <c r="E2" s="586"/>
      <c r="F2" s="586"/>
      <c r="G2" s="586"/>
      <c r="H2" s="586"/>
    </row>
    <row r="3" spans="1:8" x14ac:dyDescent="0.2">
      <c r="A3" s="1465" t="s">
        <v>78</v>
      </c>
      <c r="B3" s="1465"/>
      <c r="C3" s="1465"/>
      <c r="D3" s="1465"/>
      <c r="E3" s="1465"/>
      <c r="F3" s="1465"/>
      <c r="G3" s="1465"/>
      <c r="H3" s="1465"/>
    </row>
    <row r="4" spans="1:8" ht="14.25" x14ac:dyDescent="0.2">
      <c r="A4" s="1453" t="s">
        <v>328</v>
      </c>
      <c r="B4" s="1453"/>
      <c r="C4" s="1453"/>
      <c r="D4" s="1453"/>
      <c r="E4" s="1453"/>
      <c r="F4" s="1453"/>
      <c r="G4" s="1453"/>
      <c r="H4" s="1453"/>
    </row>
    <row r="5" spans="1:8" ht="14.25" x14ac:dyDescent="0.2">
      <c r="A5" s="1453" t="s">
        <v>1171</v>
      </c>
      <c r="B5" s="1453"/>
      <c r="C5" s="1453"/>
      <c r="D5" s="1453"/>
      <c r="E5" s="1453"/>
      <c r="F5" s="1453"/>
      <c r="G5" s="1453"/>
      <c r="H5" s="1453"/>
    </row>
    <row r="6" spans="1:8" ht="14.25" x14ac:dyDescent="0.2">
      <c r="A6" s="1454" t="s">
        <v>55</v>
      </c>
      <c r="B6" s="1454"/>
      <c r="C6" s="1454"/>
      <c r="D6" s="1454"/>
      <c r="E6" s="1454"/>
      <c r="F6" s="1454"/>
      <c r="G6" s="1454"/>
      <c r="H6" s="1454"/>
    </row>
    <row r="7" spans="1:8" ht="15" x14ac:dyDescent="0.25">
      <c r="A7" s="648"/>
      <c r="B7" s="649"/>
      <c r="C7" s="649"/>
      <c r="D7" s="649"/>
      <c r="E7" s="649"/>
      <c r="F7" s="586"/>
      <c r="G7" s="586"/>
      <c r="H7" s="586"/>
    </row>
    <row r="8" spans="1:8" ht="14.25" customHeight="1" x14ac:dyDescent="0.2">
      <c r="A8" s="1462"/>
      <c r="B8" s="650" t="s">
        <v>57</v>
      </c>
      <c r="C8" s="650" t="s">
        <v>58</v>
      </c>
      <c r="D8" s="650" t="s">
        <v>59</v>
      </c>
      <c r="E8" s="650" t="s">
        <v>60</v>
      </c>
      <c r="F8" s="651" t="s">
        <v>485</v>
      </c>
      <c r="G8" s="651" t="s">
        <v>486</v>
      </c>
      <c r="H8" s="651" t="s">
        <v>487</v>
      </c>
    </row>
    <row r="9" spans="1:8" ht="14.25" customHeight="1" x14ac:dyDescent="0.2">
      <c r="A9" s="1462"/>
      <c r="B9" s="1463" t="s">
        <v>330</v>
      </c>
      <c r="C9" s="1464" t="s">
        <v>331</v>
      </c>
      <c r="D9" s="1464" t="s">
        <v>332</v>
      </c>
      <c r="E9" s="652"/>
      <c r="F9" s="653"/>
      <c r="G9" s="654"/>
      <c r="H9" s="654"/>
    </row>
    <row r="10" spans="1:8" ht="14.25" customHeight="1" x14ac:dyDescent="0.2">
      <c r="A10" s="1462"/>
      <c r="B10" s="1463"/>
      <c r="C10" s="1464"/>
      <c r="D10" s="1464"/>
      <c r="E10" s="655" t="s">
        <v>743</v>
      </c>
      <c r="F10" s="656" t="s">
        <v>968</v>
      </c>
      <c r="G10" s="657" t="s">
        <v>1172</v>
      </c>
      <c r="H10" s="657" t="s">
        <v>1173</v>
      </c>
    </row>
    <row r="11" spans="1:8" ht="15" x14ac:dyDescent="0.25">
      <c r="A11" s="293"/>
      <c r="B11" s="329" t="s">
        <v>338</v>
      </c>
      <c r="C11" s="330"/>
      <c r="D11" s="330"/>
      <c r="E11" s="586"/>
      <c r="F11" s="586"/>
      <c r="G11" s="586"/>
      <c r="H11" s="586"/>
    </row>
    <row r="12" spans="1:8" ht="15" x14ac:dyDescent="0.25">
      <c r="A12" s="658">
        <v>1</v>
      </c>
      <c r="B12" s="659" t="s">
        <v>342</v>
      </c>
      <c r="C12" s="660" t="s">
        <v>341</v>
      </c>
      <c r="D12" s="661" t="s">
        <v>344</v>
      </c>
      <c r="E12" s="662">
        <v>300</v>
      </c>
      <c r="F12" s="662">
        <v>300</v>
      </c>
      <c r="G12" s="662">
        <v>300</v>
      </c>
      <c r="H12" s="662">
        <v>300</v>
      </c>
    </row>
    <row r="13" spans="1:8" ht="15" x14ac:dyDescent="0.25">
      <c r="A13" s="658">
        <v>2</v>
      </c>
      <c r="B13" s="663" t="s">
        <v>345</v>
      </c>
      <c r="C13" s="664" t="s">
        <v>346</v>
      </c>
      <c r="D13" s="661" t="s">
        <v>344</v>
      </c>
      <c r="E13" s="665">
        <v>100</v>
      </c>
      <c r="F13" s="665">
        <v>100</v>
      </c>
      <c r="G13" s="665">
        <v>100</v>
      </c>
      <c r="H13" s="665">
        <v>100</v>
      </c>
    </row>
    <row r="14" spans="1:8" ht="15" x14ac:dyDescent="0.25">
      <c r="A14" s="658">
        <v>3</v>
      </c>
      <c r="B14" s="663" t="s">
        <v>349</v>
      </c>
      <c r="C14" s="664" t="s">
        <v>744</v>
      </c>
      <c r="D14" s="661" t="s">
        <v>344</v>
      </c>
      <c r="E14" s="665">
        <v>24241</v>
      </c>
      <c r="F14" s="665">
        <v>24241</v>
      </c>
      <c r="G14" s="665">
        <v>24241</v>
      </c>
      <c r="H14" s="665">
        <v>24241</v>
      </c>
    </row>
    <row r="15" spans="1:8" ht="15" x14ac:dyDescent="0.25">
      <c r="A15" s="658">
        <v>4</v>
      </c>
      <c r="B15" s="663" t="s">
        <v>349</v>
      </c>
      <c r="C15" s="664" t="s">
        <v>745</v>
      </c>
      <c r="D15" s="661" t="s">
        <v>344</v>
      </c>
      <c r="E15" s="665">
        <v>27321</v>
      </c>
      <c r="F15" s="665">
        <v>27321</v>
      </c>
      <c r="G15" s="665">
        <v>27321</v>
      </c>
      <c r="H15" s="665">
        <v>27321</v>
      </c>
    </row>
    <row r="16" spans="1:8" ht="15" x14ac:dyDescent="0.25">
      <c r="A16" s="658">
        <v>5</v>
      </c>
      <c r="B16" s="663" t="s">
        <v>357</v>
      </c>
      <c r="C16" s="664" t="s">
        <v>358</v>
      </c>
      <c r="D16" s="661" t="s">
        <v>344</v>
      </c>
      <c r="E16" s="665">
        <v>10</v>
      </c>
      <c r="F16" s="665">
        <v>10</v>
      </c>
      <c r="G16" s="665">
        <v>10</v>
      </c>
      <c r="H16" s="665">
        <v>10</v>
      </c>
    </row>
    <row r="17" spans="1:19" ht="15" x14ac:dyDescent="0.25">
      <c r="A17" s="658">
        <v>6</v>
      </c>
      <c r="B17" s="663" t="s">
        <v>746</v>
      </c>
      <c r="C17" s="664" t="s">
        <v>747</v>
      </c>
      <c r="D17" s="666" t="s">
        <v>344</v>
      </c>
      <c r="E17" s="665">
        <v>62</v>
      </c>
      <c r="F17" s="665">
        <v>62</v>
      </c>
      <c r="G17" s="665">
        <v>62</v>
      </c>
      <c r="H17" s="665">
        <v>62</v>
      </c>
    </row>
    <row r="18" spans="1:19" ht="15" x14ac:dyDescent="0.25">
      <c r="A18" s="658">
        <v>7</v>
      </c>
      <c r="B18" s="663" t="s">
        <v>748</v>
      </c>
      <c r="C18" s="664" t="s">
        <v>749</v>
      </c>
      <c r="D18" s="666" t="s">
        <v>344</v>
      </c>
      <c r="E18" s="665">
        <v>900</v>
      </c>
      <c r="F18" s="665">
        <v>900</v>
      </c>
      <c r="G18" s="665">
        <v>900</v>
      </c>
      <c r="H18" s="665">
        <v>900</v>
      </c>
    </row>
    <row r="19" spans="1:19" ht="15" x14ac:dyDescent="0.25">
      <c r="A19" s="658">
        <v>8</v>
      </c>
      <c r="B19" s="663" t="s">
        <v>750</v>
      </c>
      <c r="C19" s="664" t="s">
        <v>751</v>
      </c>
      <c r="D19" s="666" t="s">
        <v>344</v>
      </c>
      <c r="E19" s="665">
        <v>1190</v>
      </c>
      <c r="F19" s="665">
        <v>1190</v>
      </c>
      <c r="G19" s="665">
        <v>1190</v>
      </c>
      <c r="H19" s="665">
        <v>1190</v>
      </c>
    </row>
    <row r="20" spans="1:19" ht="15" x14ac:dyDescent="0.25">
      <c r="A20" s="658">
        <v>9</v>
      </c>
      <c r="B20" s="663" t="s">
        <v>369</v>
      </c>
      <c r="C20" s="664" t="s">
        <v>752</v>
      </c>
      <c r="D20" s="666" t="s">
        <v>344</v>
      </c>
      <c r="E20" s="665">
        <v>1600</v>
      </c>
      <c r="F20" s="665">
        <v>1600</v>
      </c>
      <c r="G20" s="665">
        <v>1600</v>
      </c>
      <c r="H20" s="665">
        <v>1600</v>
      </c>
    </row>
    <row r="21" spans="1:19" ht="31.5" customHeight="1" x14ac:dyDescent="0.25">
      <c r="A21" s="658">
        <v>10</v>
      </c>
      <c r="B21" s="667" t="s">
        <v>753</v>
      </c>
      <c r="C21" s="668" t="s">
        <v>754</v>
      </c>
      <c r="D21" s="669" t="s">
        <v>344</v>
      </c>
      <c r="E21" s="670">
        <v>35</v>
      </c>
      <c r="F21" s="670">
        <v>35</v>
      </c>
      <c r="G21" s="670">
        <v>35</v>
      </c>
      <c r="H21" s="670">
        <v>35</v>
      </c>
    </row>
    <row r="22" spans="1:19" ht="15" x14ac:dyDescent="0.25">
      <c r="A22" s="658">
        <f>A21+1</f>
        <v>11</v>
      </c>
      <c r="B22" s="664"/>
      <c r="C22" s="664" t="s">
        <v>755</v>
      </c>
      <c r="D22" s="661"/>
      <c r="E22" s="665">
        <v>1844</v>
      </c>
      <c r="F22" s="665">
        <v>1844</v>
      </c>
      <c r="G22" s="665">
        <v>1844</v>
      </c>
      <c r="H22" s="665">
        <v>1844</v>
      </c>
    </row>
    <row r="23" spans="1:19" ht="15" x14ac:dyDescent="0.25">
      <c r="A23" s="658">
        <v>12</v>
      </c>
      <c r="B23" s="663" t="s">
        <v>990</v>
      </c>
      <c r="C23" s="664" t="s">
        <v>987</v>
      </c>
      <c r="D23" s="661" t="s">
        <v>344</v>
      </c>
      <c r="E23" s="665">
        <v>900</v>
      </c>
      <c r="F23" s="665">
        <v>900</v>
      </c>
      <c r="G23" s="665">
        <v>900</v>
      </c>
      <c r="H23" s="665">
        <v>900</v>
      </c>
    </row>
    <row r="24" spans="1:19" ht="31.5" customHeight="1" x14ac:dyDescent="0.25">
      <c r="A24" s="658">
        <f t="shared" ref="A24:A68" si="0">A23+1</f>
        <v>13</v>
      </c>
      <c r="B24" s="469" t="s">
        <v>393</v>
      </c>
      <c r="C24" s="671" t="s">
        <v>394</v>
      </c>
      <c r="D24" s="672" t="s">
        <v>344</v>
      </c>
      <c r="E24" s="673">
        <v>40</v>
      </c>
      <c r="F24" s="673">
        <v>40</v>
      </c>
      <c r="G24" s="673">
        <v>40</v>
      </c>
      <c r="H24" s="673">
        <v>40</v>
      </c>
    </row>
    <row r="25" spans="1:19" ht="30" customHeight="1" x14ac:dyDescent="0.25">
      <c r="A25" s="658">
        <f t="shared" si="0"/>
        <v>14</v>
      </c>
      <c r="B25" s="469" t="s">
        <v>397</v>
      </c>
      <c r="C25" s="671" t="s">
        <v>756</v>
      </c>
      <c r="D25" s="672" t="s">
        <v>344</v>
      </c>
      <c r="E25" s="674">
        <v>210</v>
      </c>
      <c r="F25" s="674">
        <v>210</v>
      </c>
      <c r="G25" s="674">
        <v>210</v>
      </c>
      <c r="H25" s="674">
        <v>210</v>
      </c>
    </row>
    <row r="26" spans="1:19" ht="27" customHeight="1" x14ac:dyDescent="0.25">
      <c r="A26" s="658">
        <f t="shared" si="0"/>
        <v>15</v>
      </c>
      <c r="B26" s="667" t="s">
        <v>399</v>
      </c>
      <c r="C26" s="668" t="s">
        <v>757</v>
      </c>
      <c r="D26" s="669" t="s">
        <v>344</v>
      </c>
      <c r="E26" s="670">
        <v>199</v>
      </c>
      <c r="F26" s="670">
        <v>199</v>
      </c>
      <c r="G26" s="670">
        <v>199</v>
      </c>
      <c r="H26" s="670">
        <v>199</v>
      </c>
    </row>
    <row r="27" spans="1:19" ht="26.25" customHeight="1" x14ac:dyDescent="0.25">
      <c r="A27" s="658">
        <f t="shared" si="0"/>
        <v>16</v>
      </c>
      <c r="B27" s="667" t="s">
        <v>401</v>
      </c>
      <c r="C27" s="668" t="s">
        <v>402</v>
      </c>
      <c r="D27" s="669" t="s">
        <v>344</v>
      </c>
      <c r="E27" s="670">
        <v>1863</v>
      </c>
      <c r="F27" s="670">
        <v>1863</v>
      </c>
      <c r="G27" s="670">
        <v>1863</v>
      </c>
      <c r="H27" s="670">
        <v>1863</v>
      </c>
    </row>
    <row r="28" spans="1:19" s="676" customFormat="1" ht="30" customHeight="1" x14ac:dyDescent="0.25">
      <c r="A28" s="658">
        <f t="shared" si="0"/>
        <v>17</v>
      </c>
      <c r="B28" s="469" t="s">
        <v>1174</v>
      </c>
      <c r="C28" s="675" t="s">
        <v>1175</v>
      </c>
      <c r="D28" s="672" t="s">
        <v>344</v>
      </c>
      <c r="E28" s="472">
        <v>5985</v>
      </c>
      <c r="F28" s="472">
        <v>5985</v>
      </c>
      <c r="G28" s="472">
        <v>5985</v>
      </c>
      <c r="H28" s="472">
        <v>5985</v>
      </c>
      <c r="I28" s="473"/>
      <c r="J28" s="473"/>
      <c r="K28" s="473"/>
      <c r="L28" s="473"/>
      <c r="M28" s="473"/>
      <c r="N28" s="473"/>
      <c r="O28" s="473"/>
      <c r="P28" s="473"/>
      <c r="Q28" s="473"/>
      <c r="R28" s="473"/>
      <c r="S28" s="473"/>
    </row>
    <row r="29" spans="1:19" ht="15" x14ac:dyDescent="0.25">
      <c r="A29" s="658">
        <f t="shared" si="0"/>
        <v>18</v>
      </c>
      <c r="B29" s="664" t="s">
        <v>409</v>
      </c>
      <c r="C29" s="664" t="s">
        <v>758</v>
      </c>
      <c r="D29" s="661" t="s">
        <v>344</v>
      </c>
      <c r="E29" s="665">
        <v>36</v>
      </c>
      <c r="F29" s="665">
        <v>36</v>
      </c>
      <c r="G29" s="665">
        <v>36</v>
      </c>
      <c r="H29" s="665">
        <v>36</v>
      </c>
    </row>
    <row r="30" spans="1:19" ht="27" customHeight="1" x14ac:dyDescent="0.25">
      <c r="A30" s="658">
        <f t="shared" si="0"/>
        <v>19</v>
      </c>
      <c r="B30" s="469"/>
      <c r="C30" s="675" t="s">
        <v>759</v>
      </c>
      <c r="D30" s="672" t="s">
        <v>344</v>
      </c>
      <c r="E30" s="674">
        <v>15</v>
      </c>
      <c r="F30" s="674">
        <v>15</v>
      </c>
      <c r="G30" s="674">
        <v>15</v>
      </c>
      <c r="H30" s="674">
        <v>15</v>
      </c>
    </row>
    <row r="31" spans="1:19" ht="35.25" customHeight="1" x14ac:dyDescent="0.25">
      <c r="A31" s="658">
        <f t="shared" si="0"/>
        <v>20</v>
      </c>
      <c r="B31" s="469" t="s">
        <v>415</v>
      </c>
      <c r="C31" s="675" t="s">
        <v>416</v>
      </c>
      <c r="D31" s="672">
        <v>43497</v>
      </c>
      <c r="E31" s="472">
        <v>3553</v>
      </c>
      <c r="F31" s="472">
        <v>3553</v>
      </c>
      <c r="G31" s="472">
        <v>3553</v>
      </c>
      <c r="H31" s="472">
        <v>3553</v>
      </c>
    </row>
    <row r="32" spans="1:19" ht="30.75" customHeight="1" x14ac:dyDescent="0.25">
      <c r="A32" s="658">
        <f t="shared" si="0"/>
        <v>21</v>
      </c>
      <c r="B32" s="469" t="s">
        <v>760</v>
      </c>
      <c r="C32" s="675" t="s">
        <v>1176</v>
      </c>
      <c r="D32" s="672" t="s">
        <v>344</v>
      </c>
      <c r="E32" s="472">
        <v>1920</v>
      </c>
      <c r="F32" s="472">
        <v>1920</v>
      </c>
      <c r="G32" s="472">
        <v>1920</v>
      </c>
      <c r="H32" s="472">
        <v>1920</v>
      </c>
    </row>
    <row r="33" spans="1:19" s="676" customFormat="1" ht="27.75" customHeight="1" x14ac:dyDescent="0.25">
      <c r="A33" s="658">
        <f t="shared" si="0"/>
        <v>22</v>
      </c>
      <c r="B33" s="469" t="s">
        <v>760</v>
      </c>
      <c r="C33" s="675" t="s">
        <v>1177</v>
      </c>
      <c r="D33" s="672" t="s">
        <v>344</v>
      </c>
      <c r="E33" s="472">
        <v>1800</v>
      </c>
      <c r="F33" s="472">
        <v>1800</v>
      </c>
      <c r="G33" s="472">
        <v>1800</v>
      </c>
      <c r="H33" s="472">
        <v>1800</v>
      </c>
      <c r="I33" s="473"/>
      <c r="J33" s="473"/>
      <c r="K33" s="473"/>
      <c r="L33" s="473"/>
      <c r="M33" s="473"/>
      <c r="N33" s="473"/>
      <c r="O33" s="473"/>
      <c r="P33" s="473"/>
      <c r="Q33" s="473"/>
      <c r="R33" s="473"/>
      <c r="S33" s="473"/>
    </row>
    <row r="34" spans="1:19" ht="27.75" customHeight="1" x14ac:dyDescent="0.25">
      <c r="A34" s="658">
        <f t="shared" si="0"/>
        <v>23</v>
      </c>
      <c r="B34" s="469" t="s">
        <v>761</v>
      </c>
      <c r="C34" s="675" t="s">
        <v>762</v>
      </c>
      <c r="D34" s="672" t="s">
        <v>344</v>
      </c>
      <c r="E34" s="472">
        <v>30</v>
      </c>
      <c r="F34" s="472">
        <v>30</v>
      </c>
      <c r="G34" s="472">
        <v>30</v>
      </c>
      <c r="H34" s="472">
        <v>30</v>
      </c>
    </row>
    <row r="35" spans="1:19" ht="21.75" customHeight="1" x14ac:dyDescent="0.25">
      <c r="A35" s="658">
        <f t="shared" si="0"/>
        <v>24</v>
      </c>
      <c r="B35" s="469" t="s">
        <v>763</v>
      </c>
      <c r="C35" s="675" t="s">
        <v>764</v>
      </c>
      <c r="D35" s="672">
        <v>44196</v>
      </c>
      <c r="E35" s="472">
        <v>153</v>
      </c>
      <c r="F35" s="472">
        <v>153</v>
      </c>
      <c r="G35" s="472">
        <v>153</v>
      </c>
      <c r="H35" s="472">
        <v>153</v>
      </c>
    </row>
    <row r="36" spans="1:19" ht="24.75" customHeight="1" x14ac:dyDescent="0.25">
      <c r="A36" s="658">
        <f t="shared" si="0"/>
        <v>25</v>
      </c>
      <c r="B36" s="469" t="s">
        <v>765</v>
      </c>
      <c r="C36" s="675" t="s">
        <v>766</v>
      </c>
      <c r="D36" s="672" t="s">
        <v>344</v>
      </c>
      <c r="E36" s="472">
        <v>457</v>
      </c>
      <c r="F36" s="472">
        <v>457</v>
      </c>
      <c r="G36" s="472">
        <v>457</v>
      </c>
      <c r="H36" s="472">
        <v>457</v>
      </c>
    </row>
    <row r="37" spans="1:19" ht="28.5" customHeight="1" x14ac:dyDescent="0.25">
      <c r="A37" s="658">
        <f t="shared" si="0"/>
        <v>26</v>
      </c>
      <c r="B37" s="469" t="s">
        <v>767</v>
      </c>
      <c r="C37" s="675" t="s">
        <v>967</v>
      </c>
      <c r="D37" s="672" t="s">
        <v>344</v>
      </c>
      <c r="E37" s="472">
        <v>198</v>
      </c>
      <c r="F37" s="472">
        <v>198</v>
      </c>
      <c r="G37" s="472">
        <v>198</v>
      </c>
      <c r="H37" s="472">
        <v>198</v>
      </c>
    </row>
    <row r="38" spans="1:19" ht="36" customHeight="1" x14ac:dyDescent="0.25">
      <c r="A38" s="658">
        <f t="shared" si="0"/>
        <v>27</v>
      </c>
      <c r="B38" s="469" t="s">
        <v>768</v>
      </c>
      <c r="C38" s="675" t="s">
        <v>769</v>
      </c>
      <c r="D38" s="672" t="s">
        <v>344</v>
      </c>
      <c r="E38" s="472">
        <v>217</v>
      </c>
      <c r="F38" s="472">
        <v>217</v>
      </c>
      <c r="G38" s="472">
        <v>217</v>
      </c>
      <c r="H38" s="472">
        <v>217</v>
      </c>
    </row>
    <row r="39" spans="1:19" ht="26.25" customHeight="1" x14ac:dyDescent="0.25">
      <c r="A39" s="658">
        <f t="shared" si="0"/>
        <v>28</v>
      </c>
      <c r="B39" s="469" t="s">
        <v>127</v>
      </c>
      <c r="C39" s="675" t="s">
        <v>770</v>
      </c>
      <c r="D39" s="672" t="s">
        <v>344</v>
      </c>
      <c r="E39" s="472">
        <v>1200</v>
      </c>
      <c r="F39" s="472">
        <v>1200</v>
      </c>
      <c r="G39" s="472">
        <v>1200</v>
      </c>
      <c r="H39" s="472">
        <v>1200</v>
      </c>
    </row>
    <row r="40" spans="1:19" ht="30.75" customHeight="1" x14ac:dyDescent="0.25">
      <c r="A40" s="658">
        <f t="shared" si="0"/>
        <v>29</v>
      </c>
      <c r="B40" s="469" t="s">
        <v>771</v>
      </c>
      <c r="C40" s="675" t="s">
        <v>772</v>
      </c>
      <c r="D40" s="672">
        <v>43709</v>
      </c>
      <c r="E40" s="472">
        <v>2439</v>
      </c>
      <c r="F40" s="472">
        <v>2439</v>
      </c>
      <c r="G40" s="472">
        <v>2439</v>
      </c>
      <c r="H40" s="472">
        <v>2439</v>
      </c>
    </row>
    <row r="41" spans="1:19" ht="36" customHeight="1" x14ac:dyDescent="0.25">
      <c r="A41" s="658">
        <f t="shared" si="0"/>
        <v>30</v>
      </c>
      <c r="B41" s="677" t="s">
        <v>773</v>
      </c>
      <c r="C41" s="675" t="s">
        <v>774</v>
      </c>
      <c r="D41" s="672" t="s">
        <v>344</v>
      </c>
      <c r="E41" s="471">
        <v>508</v>
      </c>
      <c r="F41" s="471">
        <v>508</v>
      </c>
      <c r="G41" s="471">
        <v>508</v>
      </c>
      <c r="H41" s="471">
        <v>508</v>
      </c>
    </row>
    <row r="42" spans="1:19" ht="30" customHeight="1" x14ac:dyDescent="0.25">
      <c r="A42" s="658">
        <f t="shared" si="0"/>
        <v>31</v>
      </c>
      <c r="B42" s="677"/>
      <c r="C42" s="675" t="s">
        <v>775</v>
      </c>
      <c r="D42" s="672" t="s">
        <v>344</v>
      </c>
      <c r="E42" s="471">
        <v>230</v>
      </c>
      <c r="F42" s="471">
        <v>230</v>
      </c>
      <c r="G42" s="471">
        <v>230</v>
      </c>
      <c r="H42" s="471">
        <v>230</v>
      </c>
    </row>
    <row r="43" spans="1:19" ht="15" x14ac:dyDescent="0.25">
      <c r="A43" s="658">
        <v>32</v>
      </c>
      <c r="B43" s="469" t="s">
        <v>1178</v>
      </c>
      <c r="C43" s="469" t="s">
        <v>776</v>
      </c>
      <c r="D43" s="672">
        <v>43251</v>
      </c>
      <c r="E43" s="471">
        <v>302</v>
      </c>
      <c r="F43" s="471">
        <v>302</v>
      </c>
      <c r="G43" s="471">
        <v>302</v>
      </c>
      <c r="H43" s="471">
        <v>302</v>
      </c>
    </row>
    <row r="44" spans="1:19" ht="15" x14ac:dyDescent="0.25">
      <c r="A44" s="658">
        <v>33</v>
      </c>
      <c r="B44" s="469" t="s">
        <v>777</v>
      </c>
      <c r="C44" s="469" t="s">
        <v>778</v>
      </c>
      <c r="D44" s="672" t="s">
        <v>1179</v>
      </c>
      <c r="E44" s="471">
        <v>10672</v>
      </c>
      <c r="F44" s="471">
        <v>10672</v>
      </c>
      <c r="G44" s="471">
        <v>10672</v>
      </c>
      <c r="H44" s="471"/>
    </row>
    <row r="45" spans="1:19" ht="15" x14ac:dyDescent="0.25">
      <c r="A45" s="658">
        <f t="shared" si="0"/>
        <v>34</v>
      </c>
      <c r="B45" s="469" t="s">
        <v>779</v>
      </c>
      <c r="C45" s="469" t="s">
        <v>780</v>
      </c>
      <c r="D45" s="672" t="s">
        <v>344</v>
      </c>
      <c r="E45" s="471">
        <v>5760</v>
      </c>
      <c r="F45" s="471">
        <v>5760</v>
      </c>
      <c r="G45" s="471">
        <v>5760</v>
      </c>
      <c r="H45" s="471">
        <v>5760</v>
      </c>
    </row>
    <row r="46" spans="1:19" ht="15" x14ac:dyDescent="0.25">
      <c r="A46" s="658">
        <f t="shared" si="0"/>
        <v>35</v>
      </c>
      <c r="B46" s="469" t="s">
        <v>781</v>
      </c>
      <c r="C46" s="469" t="s">
        <v>782</v>
      </c>
      <c r="D46" s="672" t="s">
        <v>344</v>
      </c>
      <c r="E46" s="471">
        <v>3658</v>
      </c>
      <c r="F46" s="471">
        <v>3658</v>
      </c>
      <c r="G46" s="471">
        <v>3658</v>
      </c>
      <c r="H46" s="471">
        <v>3658</v>
      </c>
    </row>
    <row r="47" spans="1:19" ht="15" x14ac:dyDescent="0.25">
      <c r="A47" s="658">
        <f t="shared" si="0"/>
        <v>36</v>
      </c>
      <c r="B47" s="469" t="s">
        <v>115</v>
      </c>
      <c r="C47" s="469" t="s">
        <v>784</v>
      </c>
      <c r="D47" s="672" t="s">
        <v>344</v>
      </c>
      <c r="E47" s="471">
        <v>242</v>
      </c>
      <c r="F47" s="471">
        <v>242</v>
      </c>
      <c r="G47" s="471">
        <v>242</v>
      </c>
      <c r="H47" s="471">
        <v>242</v>
      </c>
    </row>
    <row r="48" spans="1:19" ht="15" x14ac:dyDescent="0.25">
      <c r="A48" s="658">
        <f t="shared" si="0"/>
        <v>37</v>
      </c>
      <c r="B48" s="469" t="s">
        <v>785</v>
      </c>
      <c r="C48" s="469" t="s">
        <v>786</v>
      </c>
      <c r="D48" s="672" t="s">
        <v>344</v>
      </c>
      <c r="E48" s="471">
        <v>993</v>
      </c>
      <c r="F48" s="471">
        <v>993</v>
      </c>
      <c r="G48" s="471">
        <v>993</v>
      </c>
      <c r="H48" s="471">
        <v>993</v>
      </c>
    </row>
    <row r="49" spans="1:11" ht="30" x14ac:dyDescent="0.25">
      <c r="A49" s="658">
        <f t="shared" si="0"/>
        <v>38</v>
      </c>
      <c r="B49" s="677" t="s">
        <v>787</v>
      </c>
      <c r="C49" s="675" t="s">
        <v>788</v>
      </c>
      <c r="D49" s="672" t="s">
        <v>344</v>
      </c>
      <c r="E49" s="471">
        <v>38</v>
      </c>
      <c r="F49" s="471">
        <v>38</v>
      </c>
      <c r="G49" s="471">
        <v>38</v>
      </c>
      <c r="H49" s="471">
        <v>38</v>
      </c>
    </row>
    <row r="50" spans="1:11" ht="15" customHeight="1" x14ac:dyDescent="0.25">
      <c r="A50" s="658">
        <f t="shared" si="0"/>
        <v>39</v>
      </c>
      <c r="B50" s="469"/>
      <c r="C50" s="469" t="s">
        <v>789</v>
      </c>
      <c r="D50" s="672" t="s">
        <v>344</v>
      </c>
      <c r="E50" s="471">
        <v>45</v>
      </c>
      <c r="F50" s="471">
        <v>45</v>
      </c>
      <c r="G50" s="471">
        <v>45</v>
      </c>
      <c r="H50" s="471">
        <v>45</v>
      </c>
    </row>
    <row r="51" spans="1:11" ht="15" x14ac:dyDescent="0.25">
      <c r="A51" s="658">
        <f t="shared" si="0"/>
        <v>40</v>
      </c>
      <c r="B51" s="469" t="s">
        <v>1180</v>
      </c>
      <c r="C51" s="469" t="s">
        <v>790</v>
      </c>
      <c r="D51" s="672">
        <v>43190</v>
      </c>
      <c r="E51" s="471">
        <v>610</v>
      </c>
      <c r="F51" s="471">
        <v>610</v>
      </c>
      <c r="G51" s="471">
        <v>610</v>
      </c>
      <c r="H51" s="471">
        <v>610</v>
      </c>
    </row>
    <row r="52" spans="1:11" ht="15" x14ac:dyDescent="0.25">
      <c r="A52" s="658">
        <f t="shared" si="0"/>
        <v>41</v>
      </c>
      <c r="B52" s="469" t="s">
        <v>1181</v>
      </c>
      <c r="C52" s="469" t="s">
        <v>791</v>
      </c>
      <c r="D52" s="672">
        <v>43190</v>
      </c>
      <c r="E52" s="471">
        <v>610</v>
      </c>
      <c r="F52" s="471">
        <v>610</v>
      </c>
      <c r="G52" s="471">
        <v>610</v>
      </c>
      <c r="H52" s="471">
        <v>610</v>
      </c>
    </row>
    <row r="53" spans="1:11" ht="15" x14ac:dyDescent="0.25">
      <c r="A53" s="658">
        <f t="shared" si="0"/>
        <v>42</v>
      </c>
      <c r="B53" s="469" t="s">
        <v>792</v>
      </c>
      <c r="C53" s="469" t="s">
        <v>793</v>
      </c>
      <c r="D53" s="672">
        <v>42825</v>
      </c>
      <c r="E53" s="471">
        <v>210</v>
      </c>
      <c r="F53" s="471">
        <v>210</v>
      </c>
      <c r="G53" s="471">
        <v>210</v>
      </c>
      <c r="H53" s="471">
        <v>210</v>
      </c>
    </row>
    <row r="54" spans="1:11" ht="15" x14ac:dyDescent="0.25">
      <c r="A54" s="658">
        <f t="shared" si="0"/>
        <v>43</v>
      </c>
      <c r="B54" s="469" t="s">
        <v>794</v>
      </c>
      <c r="C54" s="469" t="s">
        <v>795</v>
      </c>
      <c r="D54" s="672">
        <v>42855</v>
      </c>
      <c r="E54" s="471">
        <v>972</v>
      </c>
      <c r="F54" s="471">
        <v>972</v>
      </c>
      <c r="G54" s="471">
        <v>972</v>
      </c>
      <c r="H54" s="471">
        <v>972</v>
      </c>
    </row>
    <row r="55" spans="1:11" ht="15" x14ac:dyDescent="0.25">
      <c r="A55" s="658">
        <f t="shared" si="0"/>
        <v>44</v>
      </c>
      <c r="B55" s="469" t="s">
        <v>783</v>
      </c>
      <c r="C55" s="469" t="s">
        <v>796</v>
      </c>
      <c r="D55" s="672" t="s">
        <v>344</v>
      </c>
      <c r="E55" s="471">
        <v>486</v>
      </c>
      <c r="F55" s="471">
        <v>486</v>
      </c>
      <c r="G55" s="471">
        <v>486</v>
      </c>
      <c r="H55" s="471">
        <v>486</v>
      </c>
    </row>
    <row r="56" spans="1:11" ht="15.75" x14ac:dyDescent="0.25">
      <c r="A56" s="658">
        <v>45</v>
      </c>
      <c r="B56" s="678"/>
      <c r="C56" s="469" t="s">
        <v>797</v>
      </c>
      <c r="D56" s="679" t="s">
        <v>344</v>
      </c>
      <c r="E56" s="471">
        <v>175</v>
      </c>
      <c r="F56" s="471">
        <v>175</v>
      </c>
      <c r="G56" s="471">
        <v>175</v>
      </c>
      <c r="H56" s="471">
        <v>175</v>
      </c>
    </row>
    <row r="57" spans="1:11" ht="15.75" x14ac:dyDescent="0.25">
      <c r="A57" s="658">
        <f t="shared" si="0"/>
        <v>46</v>
      </c>
      <c r="B57" s="678"/>
      <c r="C57" s="469" t="s">
        <v>798</v>
      </c>
      <c r="D57" s="679" t="s">
        <v>344</v>
      </c>
      <c r="E57" s="471">
        <v>55</v>
      </c>
      <c r="F57" s="471">
        <v>55</v>
      </c>
      <c r="G57" s="471">
        <v>55</v>
      </c>
      <c r="H57" s="471">
        <v>55</v>
      </c>
    </row>
    <row r="58" spans="1:11" ht="15" x14ac:dyDescent="0.25">
      <c r="A58" s="658">
        <f t="shared" si="0"/>
        <v>47</v>
      </c>
      <c r="B58" s="678"/>
      <c r="C58" s="469" t="s">
        <v>799</v>
      </c>
      <c r="D58" s="680">
        <v>45291</v>
      </c>
      <c r="E58" s="471">
        <v>19500</v>
      </c>
      <c r="F58" s="471">
        <v>19500</v>
      </c>
      <c r="G58" s="471">
        <v>19500</v>
      </c>
      <c r="H58" s="471">
        <v>19500</v>
      </c>
    </row>
    <row r="59" spans="1:11" ht="15.75" x14ac:dyDescent="0.25">
      <c r="A59" s="658">
        <f t="shared" si="0"/>
        <v>48</v>
      </c>
      <c r="B59" s="678"/>
      <c r="C59" s="469" t="s">
        <v>800</v>
      </c>
      <c r="D59" s="679" t="s">
        <v>344</v>
      </c>
      <c r="E59" s="471">
        <v>37</v>
      </c>
      <c r="F59" s="471">
        <v>37</v>
      </c>
      <c r="G59" s="471">
        <v>37</v>
      </c>
      <c r="H59" s="471">
        <v>37</v>
      </c>
    </row>
    <row r="60" spans="1:11" ht="15.75" x14ac:dyDescent="0.25">
      <c r="A60" s="658">
        <f t="shared" si="0"/>
        <v>49</v>
      </c>
      <c r="B60" s="678"/>
      <c r="C60" s="469" t="s">
        <v>801</v>
      </c>
      <c r="D60" s="679" t="s">
        <v>344</v>
      </c>
      <c r="E60" s="471">
        <v>53</v>
      </c>
      <c r="F60" s="471">
        <v>53</v>
      </c>
      <c r="G60" s="471">
        <v>53</v>
      </c>
      <c r="H60" s="471">
        <v>53</v>
      </c>
      <c r="K60" s="471"/>
    </row>
    <row r="61" spans="1:11" ht="15.75" x14ac:dyDescent="0.25">
      <c r="A61" s="658">
        <f t="shared" si="0"/>
        <v>50</v>
      </c>
      <c r="B61" s="678"/>
      <c r="C61" s="469" t="s">
        <v>802</v>
      </c>
      <c r="D61" s="679" t="s">
        <v>344</v>
      </c>
      <c r="E61" s="471">
        <v>104</v>
      </c>
      <c r="F61" s="471">
        <v>104</v>
      </c>
      <c r="G61" s="471">
        <v>104</v>
      </c>
      <c r="H61" s="471">
        <v>104</v>
      </c>
    </row>
    <row r="62" spans="1:11" ht="15.75" x14ac:dyDescent="0.25">
      <c r="A62" s="658">
        <f t="shared" si="0"/>
        <v>51</v>
      </c>
      <c r="B62" s="678"/>
      <c r="C62" s="469" t="s">
        <v>803</v>
      </c>
      <c r="D62" s="679" t="s">
        <v>344</v>
      </c>
      <c r="E62" s="471">
        <v>192</v>
      </c>
      <c r="F62" s="471">
        <v>192</v>
      </c>
      <c r="G62" s="471">
        <v>192</v>
      </c>
      <c r="H62" s="471">
        <v>192</v>
      </c>
    </row>
    <row r="63" spans="1:11" ht="15.75" x14ac:dyDescent="0.25">
      <c r="A63" s="658">
        <f t="shared" si="0"/>
        <v>52</v>
      </c>
      <c r="B63" s="678"/>
      <c r="C63" s="469" t="s">
        <v>804</v>
      </c>
      <c r="D63" s="679" t="s">
        <v>344</v>
      </c>
      <c r="E63" s="471">
        <v>134</v>
      </c>
      <c r="F63" s="471">
        <v>134</v>
      </c>
      <c r="G63" s="471">
        <v>134</v>
      </c>
      <c r="H63" s="471">
        <v>134</v>
      </c>
    </row>
    <row r="64" spans="1:11" ht="15.75" x14ac:dyDescent="0.25">
      <c r="A64" s="658">
        <f t="shared" si="0"/>
        <v>53</v>
      </c>
      <c r="B64" s="678"/>
      <c r="C64" s="469" t="s">
        <v>805</v>
      </c>
      <c r="D64" s="679" t="s">
        <v>344</v>
      </c>
      <c r="E64" s="471">
        <v>159</v>
      </c>
      <c r="F64" s="471">
        <v>159</v>
      </c>
      <c r="G64" s="471">
        <v>159</v>
      </c>
      <c r="H64" s="471">
        <v>159</v>
      </c>
    </row>
    <row r="65" spans="1:11" ht="15" x14ac:dyDescent="0.25">
      <c r="A65" s="658">
        <f t="shared" si="0"/>
        <v>54</v>
      </c>
      <c r="B65" s="681">
        <v>68360</v>
      </c>
      <c r="C65" s="469" t="s">
        <v>969</v>
      </c>
      <c r="D65" s="682" t="s">
        <v>344</v>
      </c>
      <c r="E65" s="471">
        <v>1844</v>
      </c>
      <c r="F65" s="471">
        <v>1844</v>
      </c>
      <c r="G65" s="471">
        <v>1844</v>
      </c>
      <c r="H65" s="471">
        <v>1844</v>
      </c>
    </row>
    <row r="66" spans="1:11" ht="15" x14ac:dyDescent="0.25">
      <c r="A66" s="658">
        <f t="shared" si="0"/>
        <v>55</v>
      </c>
      <c r="B66" s="683" t="s">
        <v>915</v>
      </c>
      <c r="C66" s="469" t="s">
        <v>916</v>
      </c>
      <c r="D66" s="680">
        <v>43465</v>
      </c>
      <c r="E66" s="471">
        <v>21000</v>
      </c>
      <c r="F66" s="471">
        <v>21000</v>
      </c>
      <c r="G66" s="471">
        <v>21000</v>
      </c>
      <c r="H66" s="471">
        <v>21000</v>
      </c>
    </row>
    <row r="67" spans="1:11" ht="15" x14ac:dyDescent="0.25">
      <c r="A67" s="658">
        <f t="shared" si="0"/>
        <v>56</v>
      </c>
      <c r="B67" s="683" t="s">
        <v>917</v>
      </c>
      <c r="C67" s="469" t="s">
        <v>918</v>
      </c>
      <c r="D67" s="682" t="s">
        <v>344</v>
      </c>
      <c r="E67" s="471">
        <v>31000</v>
      </c>
      <c r="F67" s="471">
        <v>31000</v>
      </c>
      <c r="G67" s="471">
        <v>31000</v>
      </c>
      <c r="H67" s="471">
        <v>31000</v>
      </c>
      <c r="I67" s="586"/>
    </row>
    <row r="68" spans="1:11" ht="15" x14ac:dyDescent="0.25">
      <c r="A68" s="658">
        <f t="shared" si="0"/>
        <v>57</v>
      </c>
      <c r="B68" s="684"/>
      <c r="C68" s="469" t="s">
        <v>919</v>
      </c>
      <c r="D68" s="682" t="s">
        <v>344</v>
      </c>
      <c r="E68" s="471">
        <v>732</v>
      </c>
      <c r="F68" s="471">
        <v>732</v>
      </c>
      <c r="G68" s="471">
        <v>732</v>
      </c>
      <c r="H68" s="471">
        <v>732</v>
      </c>
      <c r="I68" s="586"/>
    </row>
    <row r="69" spans="1:11" ht="15" x14ac:dyDescent="0.25">
      <c r="A69" s="658">
        <v>61</v>
      </c>
      <c r="B69" s="683" t="s">
        <v>988</v>
      </c>
      <c r="C69" s="469" t="s">
        <v>989</v>
      </c>
      <c r="D69" s="682" t="s">
        <v>344</v>
      </c>
      <c r="E69" s="471">
        <v>3277</v>
      </c>
      <c r="F69" s="471">
        <v>3277</v>
      </c>
      <c r="G69" s="471">
        <v>3277</v>
      </c>
      <c r="H69" s="471">
        <v>3277</v>
      </c>
      <c r="I69" s="586"/>
    </row>
    <row r="70" spans="1:11" ht="30" x14ac:dyDescent="0.25">
      <c r="A70" s="658">
        <v>62</v>
      </c>
      <c r="B70" s="683" t="s">
        <v>1182</v>
      </c>
      <c r="C70" s="537" t="s">
        <v>1183</v>
      </c>
      <c r="D70" s="682" t="s">
        <v>344</v>
      </c>
      <c r="E70" s="471">
        <v>600</v>
      </c>
      <c r="F70" s="471">
        <v>600</v>
      </c>
      <c r="G70" s="471">
        <v>600</v>
      </c>
      <c r="H70" s="471">
        <v>600</v>
      </c>
      <c r="I70" s="586"/>
      <c r="J70" s="586"/>
      <c r="K70" s="586"/>
    </row>
    <row r="71" spans="1:11" ht="15" x14ac:dyDescent="0.25">
      <c r="A71" s="658">
        <v>63</v>
      </c>
      <c r="B71" s="683" t="s">
        <v>1184</v>
      </c>
      <c r="C71" s="469" t="s">
        <v>1185</v>
      </c>
      <c r="D71" s="682" t="s">
        <v>344</v>
      </c>
      <c r="E71" s="471">
        <v>283</v>
      </c>
      <c r="F71" s="471">
        <v>283</v>
      </c>
      <c r="G71" s="471">
        <v>283</v>
      </c>
      <c r="H71" s="471">
        <v>283</v>
      </c>
      <c r="I71" s="685"/>
      <c r="J71" s="685"/>
      <c r="K71" s="685"/>
    </row>
    <row r="72" spans="1:11" ht="15" x14ac:dyDescent="0.25">
      <c r="A72" s="658">
        <v>64</v>
      </c>
      <c r="B72" s="683" t="s">
        <v>1186</v>
      </c>
      <c r="C72" s="469" t="s">
        <v>1187</v>
      </c>
      <c r="D72" s="680">
        <v>46727</v>
      </c>
      <c r="E72" s="471"/>
      <c r="F72" s="471"/>
      <c r="G72" s="471">
        <v>155396</v>
      </c>
      <c r="H72" s="471">
        <v>155396</v>
      </c>
      <c r="I72" s="685"/>
      <c r="J72" s="685"/>
      <c r="K72" s="685"/>
    </row>
    <row r="73" spans="1:11" ht="15" x14ac:dyDescent="0.25">
      <c r="A73" s="658">
        <v>65</v>
      </c>
      <c r="B73" s="683" t="s">
        <v>1188</v>
      </c>
      <c r="C73" s="469" t="s">
        <v>1189</v>
      </c>
      <c r="D73" s="680" t="s">
        <v>344</v>
      </c>
      <c r="E73" s="471">
        <v>3000</v>
      </c>
      <c r="F73" s="471">
        <v>3000</v>
      </c>
      <c r="G73" s="471">
        <v>3000</v>
      </c>
      <c r="H73" s="471">
        <v>3000</v>
      </c>
      <c r="I73" s="685"/>
      <c r="J73" s="685"/>
      <c r="K73" s="685"/>
    </row>
    <row r="74" spans="1:11" ht="15" x14ac:dyDescent="0.25">
      <c r="A74" s="658">
        <v>66</v>
      </c>
      <c r="B74" s="683" t="s">
        <v>1190</v>
      </c>
      <c r="C74" s="469" t="s">
        <v>1191</v>
      </c>
      <c r="D74" s="680">
        <v>44105</v>
      </c>
      <c r="E74" s="471">
        <v>350</v>
      </c>
      <c r="F74" s="471">
        <v>350</v>
      </c>
      <c r="G74" s="471">
        <v>263</v>
      </c>
      <c r="H74" s="471">
        <v>0</v>
      </c>
      <c r="I74" s="685"/>
      <c r="J74" s="685"/>
      <c r="K74" s="685"/>
    </row>
    <row r="75" spans="1:11" ht="15.75" x14ac:dyDescent="0.25">
      <c r="A75" s="658"/>
      <c r="B75" s="678"/>
      <c r="C75" s="678"/>
      <c r="D75" s="686"/>
      <c r="E75" s="687">
        <f>SUM(E11:E74)</f>
        <v>186649</v>
      </c>
      <c r="F75" s="688">
        <f>SUM(F12:F74)</f>
        <v>186649</v>
      </c>
      <c r="G75" s="688">
        <f>SUM(G12:G74)</f>
        <v>341958</v>
      </c>
      <c r="H75" s="688">
        <f>SUM(H12:H74)</f>
        <v>331023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283" customWidth="1"/>
    <col min="2" max="2" width="27.7109375" style="295" customWidth="1"/>
    <col min="3" max="3" width="47.85546875" style="295" customWidth="1"/>
    <col min="4" max="4" width="9.140625" style="284"/>
    <col min="5" max="5" width="8.7109375" style="295" bestFit="1" customWidth="1"/>
    <col min="6" max="6" width="8.42578125" style="295" bestFit="1" customWidth="1"/>
    <col min="7" max="7" width="8.7109375" style="295" customWidth="1"/>
    <col min="8" max="8" width="8.85546875" style="295" customWidth="1"/>
    <col min="9" max="9" width="9.140625" style="295"/>
    <col min="10" max="16384" width="9.140625" style="286"/>
  </cols>
  <sheetData>
    <row r="1" spans="1:11" ht="14.1" customHeight="1" x14ac:dyDescent="0.25">
      <c r="C1" s="1470" t="s">
        <v>165</v>
      </c>
      <c r="D1" s="1470"/>
      <c r="E1" s="1470"/>
      <c r="F1" s="1470"/>
      <c r="G1" s="1470"/>
      <c r="H1" s="1470"/>
    </row>
    <row r="2" spans="1:11" ht="20.100000000000001" customHeight="1" x14ac:dyDescent="0.25">
      <c r="A2" s="1453" t="s">
        <v>328</v>
      </c>
      <c r="B2" s="1471"/>
      <c r="C2" s="1471"/>
      <c r="D2" s="1471"/>
      <c r="E2" s="1471"/>
      <c r="F2" s="1471"/>
      <c r="G2" s="1471"/>
      <c r="H2" s="1471"/>
    </row>
    <row r="3" spans="1:11" ht="14.1" customHeight="1" x14ac:dyDescent="0.25">
      <c r="A3" s="1453" t="s">
        <v>329</v>
      </c>
      <c r="B3" s="1471"/>
      <c r="C3" s="1471"/>
      <c r="D3" s="1471"/>
      <c r="E3" s="1471"/>
      <c r="F3" s="1471"/>
      <c r="G3" s="1471"/>
      <c r="H3" s="1471"/>
    </row>
    <row r="4" spans="1:11" ht="14.1" customHeight="1" x14ac:dyDescent="0.25">
      <c r="A4" s="1454" t="s">
        <v>55</v>
      </c>
      <c r="B4" s="1472"/>
      <c r="C4" s="1472"/>
      <c r="D4" s="1472"/>
      <c r="E4" s="1472"/>
      <c r="F4" s="1472"/>
      <c r="G4" s="1472"/>
      <c r="H4" s="1472"/>
    </row>
    <row r="5" spans="1:11" ht="14.1" customHeight="1" x14ac:dyDescent="0.25">
      <c r="A5" s="282"/>
      <c r="B5" s="283"/>
      <c r="C5" s="283"/>
      <c r="D5" s="283"/>
      <c r="E5" s="283"/>
      <c r="F5" s="283"/>
      <c r="G5" s="283"/>
      <c r="H5" s="283"/>
    </row>
    <row r="6" spans="1:11" ht="14.1" customHeight="1" x14ac:dyDescent="0.25">
      <c r="A6" s="1462"/>
      <c r="B6" s="285" t="s">
        <v>57</v>
      </c>
      <c r="C6" s="285" t="s">
        <v>58</v>
      </c>
      <c r="D6" s="285" t="s">
        <v>59</v>
      </c>
      <c r="E6" s="285" t="s">
        <v>60</v>
      </c>
      <c r="F6" s="285" t="s">
        <v>485</v>
      </c>
      <c r="G6" s="285" t="s">
        <v>486</v>
      </c>
      <c r="H6" s="285" t="s">
        <v>487</v>
      </c>
      <c r="I6" s="285" t="s">
        <v>615</v>
      </c>
    </row>
    <row r="7" spans="1:11" s="325" customFormat="1" ht="13.5" customHeight="1" x14ac:dyDescent="0.25">
      <c r="A7" s="1462"/>
      <c r="B7" s="1469" t="s">
        <v>330</v>
      </c>
      <c r="C7" s="1473" t="s">
        <v>331</v>
      </c>
      <c r="D7" s="1473" t="s">
        <v>332</v>
      </c>
      <c r="E7" s="1467" t="s">
        <v>333</v>
      </c>
      <c r="F7" s="1468"/>
      <c r="G7" s="1468"/>
      <c r="H7" s="1468"/>
      <c r="I7" s="1469"/>
      <c r="J7" s="324"/>
      <c r="K7" s="324"/>
    </row>
    <row r="8" spans="1:11" s="325" customFormat="1" ht="13.5" customHeight="1" x14ac:dyDescent="0.25">
      <c r="A8" s="1462"/>
      <c r="B8" s="1469"/>
      <c r="C8" s="1473"/>
      <c r="D8" s="1473"/>
      <c r="E8" s="326" t="s">
        <v>334</v>
      </c>
      <c r="F8" s="326" t="s">
        <v>335</v>
      </c>
      <c r="G8" s="326" t="s">
        <v>336</v>
      </c>
      <c r="H8" s="327" t="s">
        <v>337</v>
      </c>
      <c r="I8" s="326" t="s">
        <v>162</v>
      </c>
      <c r="J8" s="328"/>
      <c r="K8" s="328"/>
    </row>
    <row r="9" spans="1:11" s="325" customFormat="1" ht="13.5" customHeight="1" x14ac:dyDescent="0.25">
      <c r="A9" s="293" t="s">
        <v>494</v>
      </c>
      <c r="B9" s="329" t="s">
        <v>338</v>
      </c>
      <c r="C9" s="330"/>
      <c r="D9" s="331"/>
      <c r="E9" s="330"/>
      <c r="F9" s="330"/>
      <c r="G9" s="330"/>
      <c r="H9" s="330"/>
      <c r="I9" s="281"/>
    </row>
    <row r="10" spans="1:11" ht="13.5" customHeight="1" x14ac:dyDescent="0.25">
      <c r="A10" s="293" t="s">
        <v>502</v>
      </c>
      <c r="B10" s="332" t="s">
        <v>339</v>
      </c>
    </row>
    <row r="11" spans="1:11" ht="13.5" customHeight="1" x14ac:dyDescent="0.25">
      <c r="A11" s="293" t="s">
        <v>503</v>
      </c>
      <c r="B11" s="315" t="s">
        <v>340</v>
      </c>
      <c r="C11" s="316" t="s">
        <v>341</v>
      </c>
      <c r="D11" s="317"/>
      <c r="E11" s="316"/>
      <c r="F11" s="316"/>
      <c r="G11" s="316"/>
      <c r="H11" s="316"/>
    </row>
    <row r="12" spans="1:11" ht="13.5" customHeight="1" x14ac:dyDescent="0.25">
      <c r="A12" s="293" t="s">
        <v>504</v>
      </c>
      <c r="B12" s="315" t="s">
        <v>342</v>
      </c>
      <c r="C12" s="316" t="s">
        <v>343</v>
      </c>
      <c r="D12" s="284" t="s">
        <v>344</v>
      </c>
      <c r="E12" s="318">
        <v>300</v>
      </c>
      <c r="F12" s="318">
        <v>300</v>
      </c>
      <c r="G12" s="318">
        <v>300</v>
      </c>
      <c r="H12" s="318">
        <v>300</v>
      </c>
    </row>
    <row r="13" spans="1:11" ht="13.5" customHeight="1" x14ac:dyDescent="0.25">
      <c r="A13" s="293" t="s">
        <v>505</v>
      </c>
      <c r="B13" s="294" t="s">
        <v>345</v>
      </c>
      <c r="C13" s="295" t="s">
        <v>346</v>
      </c>
      <c r="D13" s="284" t="s">
        <v>344</v>
      </c>
      <c r="E13" s="292">
        <v>100</v>
      </c>
      <c r="F13" s="292">
        <v>100</v>
      </c>
      <c r="G13" s="292">
        <v>100</v>
      </c>
      <c r="H13" s="292">
        <v>100</v>
      </c>
      <c r="I13" s="295">
        <v>100</v>
      </c>
    </row>
    <row r="14" spans="1:11" ht="13.5" customHeight="1" x14ac:dyDescent="0.25">
      <c r="A14" s="293" t="s">
        <v>506</v>
      </c>
      <c r="B14" s="294" t="s">
        <v>347</v>
      </c>
      <c r="C14" s="295" t="s">
        <v>348</v>
      </c>
      <c r="D14" s="284" t="s">
        <v>344</v>
      </c>
      <c r="E14" s="292">
        <v>24554</v>
      </c>
      <c r="F14" s="292">
        <v>19393</v>
      </c>
      <c r="G14" s="292"/>
      <c r="H14" s="292">
        <v>24241</v>
      </c>
      <c r="I14" s="295">
        <v>24250</v>
      </c>
    </row>
    <row r="15" spans="1:11" ht="13.5" customHeight="1" x14ac:dyDescent="0.25">
      <c r="A15" s="293" t="s">
        <v>507</v>
      </c>
      <c r="B15" s="294" t="s">
        <v>349</v>
      </c>
      <c r="C15" s="295" t="s">
        <v>350</v>
      </c>
      <c r="D15" s="284" t="s">
        <v>344</v>
      </c>
      <c r="E15" s="292"/>
      <c r="F15" s="292"/>
      <c r="G15" s="292"/>
      <c r="H15" s="292"/>
    </row>
    <row r="16" spans="1:11" ht="13.5" customHeight="1" x14ac:dyDescent="0.25">
      <c r="A16" s="293" t="s">
        <v>508</v>
      </c>
      <c r="B16" s="294" t="s">
        <v>351</v>
      </c>
      <c r="C16" s="295" t="s">
        <v>352</v>
      </c>
      <c r="D16" s="284" t="s">
        <v>344</v>
      </c>
      <c r="E16" s="292">
        <v>17280</v>
      </c>
      <c r="F16" s="292">
        <v>17280</v>
      </c>
      <c r="G16" s="292">
        <v>17280</v>
      </c>
      <c r="H16" s="292">
        <v>17280</v>
      </c>
      <c r="I16" s="295">
        <v>17280</v>
      </c>
    </row>
    <row r="17" spans="1:13" ht="13.5" customHeight="1" x14ac:dyDescent="0.25">
      <c r="A17" s="293" t="s">
        <v>509</v>
      </c>
      <c r="B17" s="294" t="s">
        <v>353</v>
      </c>
      <c r="C17" s="295" t="s">
        <v>354</v>
      </c>
      <c r="D17" s="284" t="s">
        <v>344</v>
      </c>
      <c r="E17" s="292">
        <v>32739</v>
      </c>
      <c r="F17" s="292">
        <v>25858</v>
      </c>
      <c r="G17" s="292"/>
      <c r="H17" s="292">
        <v>27321</v>
      </c>
      <c r="I17" s="295">
        <v>27350</v>
      </c>
    </row>
    <row r="18" spans="1:13" ht="13.5" customHeight="1" x14ac:dyDescent="0.25">
      <c r="A18" s="293" t="s">
        <v>551</v>
      </c>
      <c r="B18" s="294"/>
      <c r="C18" s="295" t="s">
        <v>355</v>
      </c>
      <c r="D18" s="284" t="s">
        <v>344</v>
      </c>
      <c r="E18" s="292"/>
      <c r="F18" s="292"/>
      <c r="G18" s="292"/>
      <c r="H18" s="292"/>
    </row>
    <row r="19" spans="1:13" ht="13.5" customHeight="1" x14ac:dyDescent="0.25">
      <c r="A19" s="293" t="s">
        <v>552</v>
      </c>
      <c r="B19" s="294"/>
      <c r="C19" s="295" t="s">
        <v>356</v>
      </c>
      <c r="D19" s="284" t="s">
        <v>344</v>
      </c>
      <c r="E19" s="292">
        <v>23050</v>
      </c>
      <c r="F19" s="292">
        <v>23050</v>
      </c>
      <c r="G19" s="292">
        <v>23050</v>
      </c>
      <c r="H19" s="292">
        <v>23050</v>
      </c>
      <c r="I19" s="295">
        <v>23050</v>
      </c>
    </row>
    <row r="20" spans="1:13" ht="18" customHeight="1" x14ac:dyDescent="0.25">
      <c r="A20" s="293" t="s">
        <v>553</v>
      </c>
      <c r="B20" s="294" t="s">
        <v>357</v>
      </c>
      <c r="C20" s="295" t="s">
        <v>358</v>
      </c>
      <c r="D20" s="284" t="s">
        <v>344</v>
      </c>
      <c r="E20" s="292">
        <v>9</v>
      </c>
      <c r="F20" s="292">
        <v>9</v>
      </c>
      <c r="G20" s="292">
        <v>9</v>
      </c>
      <c r="H20" s="292">
        <v>9</v>
      </c>
      <c r="I20" s="295">
        <v>9</v>
      </c>
    </row>
    <row r="21" spans="1:13" ht="13.5" customHeight="1" x14ac:dyDescent="0.25">
      <c r="A21" s="293" t="s">
        <v>554</v>
      </c>
      <c r="B21" s="294" t="s">
        <v>359</v>
      </c>
      <c r="C21" s="295" t="s">
        <v>360</v>
      </c>
      <c r="D21" s="284" t="s">
        <v>344</v>
      </c>
      <c r="E21" s="292">
        <v>50</v>
      </c>
      <c r="F21" s="292">
        <v>50</v>
      </c>
      <c r="G21" s="292">
        <v>50</v>
      </c>
      <c r="H21" s="292">
        <v>100</v>
      </c>
      <c r="I21" s="295">
        <v>100</v>
      </c>
    </row>
    <row r="22" spans="1:13" ht="21" customHeight="1" x14ac:dyDescent="0.25">
      <c r="A22" s="293" t="s">
        <v>555</v>
      </c>
      <c r="B22" s="294" t="s">
        <v>361</v>
      </c>
      <c r="C22" s="295" t="s">
        <v>362</v>
      </c>
      <c r="D22" s="296" t="s">
        <v>344</v>
      </c>
      <c r="E22" s="292">
        <v>875</v>
      </c>
      <c r="F22" s="292">
        <v>875</v>
      </c>
      <c r="G22" s="292">
        <v>875</v>
      </c>
      <c r="H22" s="292">
        <v>875</v>
      </c>
      <c r="I22" s="295">
        <v>875</v>
      </c>
    </row>
    <row r="23" spans="1:13" s="288" customFormat="1" ht="30" x14ac:dyDescent="0.25">
      <c r="A23" s="293" t="s">
        <v>556</v>
      </c>
      <c r="B23" s="297" t="s">
        <v>363</v>
      </c>
      <c r="C23" s="319" t="s">
        <v>364</v>
      </c>
      <c r="D23" s="299" t="s">
        <v>344</v>
      </c>
      <c r="E23" s="320">
        <v>129</v>
      </c>
      <c r="F23" s="320">
        <v>129</v>
      </c>
      <c r="G23" s="320">
        <v>129</v>
      </c>
      <c r="H23" s="320">
        <v>193</v>
      </c>
      <c r="I23" s="305">
        <v>193</v>
      </c>
      <c r="J23" s="312"/>
      <c r="K23" s="321"/>
      <c r="M23" s="322"/>
    </row>
    <row r="24" spans="1:13" ht="17.25" customHeight="1" x14ac:dyDescent="0.25">
      <c r="A24" s="293" t="s">
        <v>557</v>
      </c>
      <c r="B24" s="294" t="s">
        <v>113</v>
      </c>
      <c r="C24" s="295" t="s">
        <v>365</v>
      </c>
      <c r="D24" s="296" t="s">
        <v>344</v>
      </c>
      <c r="E24" s="292">
        <v>125</v>
      </c>
      <c r="F24" s="292">
        <v>125</v>
      </c>
      <c r="G24" s="292">
        <v>125</v>
      </c>
      <c r="H24" s="292">
        <v>147</v>
      </c>
      <c r="I24" s="295">
        <v>147</v>
      </c>
    </row>
    <row r="25" spans="1:13" ht="15.75" customHeight="1" x14ac:dyDescent="0.25">
      <c r="A25" s="293" t="s">
        <v>558</v>
      </c>
      <c r="B25" s="294"/>
      <c r="C25" s="295" t="s">
        <v>366</v>
      </c>
      <c r="D25" s="296" t="s">
        <v>344</v>
      </c>
      <c r="E25" s="292">
        <v>54</v>
      </c>
      <c r="F25" s="292">
        <v>54</v>
      </c>
      <c r="G25" s="292">
        <v>54</v>
      </c>
      <c r="H25" s="292">
        <v>54</v>
      </c>
      <c r="I25" s="295">
        <v>54</v>
      </c>
    </row>
    <row r="26" spans="1:13" ht="13.5" customHeight="1" x14ac:dyDescent="0.25">
      <c r="A26" s="293" t="s">
        <v>560</v>
      </c>
      <c r="B26" s="294" t="s">
        <v>367</v>
      </c>
      <c r="C26" s="295" t="s">
        <v>368</v>
      </c>
      <c r="D26" s="296" t="s">
        <v>344</v>
      </c>
      <c r="E26" s="292">
        <v>100</v>
      </c>
      <c r="F26" s="292">
        <v>100</v>
      </c>
      <c r="G26" s="292">
        <v>100</v>
      </c>
      <c r="H26" s="292">
        <v>100</v>
      </c>
      <c r="I26" s="295">
        <v>100</v>
      </c>
    </row>
    <row r="27" spans="1:13" ht="13.5" customHeight="1" x14ac:dyDescent="0.25">
      <c r="A27" s="293" t="s">
        <v>561</v>
      </c>
      <c r="B27" s="294" t="s">
        <v>369</v>
      </c>
      <c r="C27" s="295" t="s">
        <v>370</v>
      </c>
      <c r="D27" s="296" t="s">
        <v>344</v>
      </c>
      <c r="E27" s="292">
        <v>1575</v>
      </c>
      <c r="F27" s="292">
        <v>1575</v>
      </c>
      <c r="G27" s="292">
        <v>1575</v>
      </c>
      <c r="H27" s="292">
        <v>1575</v>
      </c>
      <c r="I27" s="295">
        <v>1575</v>
      </c>
    </row>
    <row r="28" spans="1:13" ht="13.5" customHeight="1" x14ac:dyDescent="0.25">
      <c r="A28" s="293" t="s">
        <v>562</v>
      </c>
      <c r="B28" s="294" t="s">
        <v>371</v>
      </c>
      <c r="C28" s="295" t="s">
        <v>372</v>
      </c>
      <c r="D28" s="296" t="s">
        <v>344</v>
      </c>
      <c r="E28" s="292">
        <v>60</v>
      </c>
      <c r="F28" s="292">
        <v>60</v>
      </c>
      <c r="G28" s="292">
        <v>60</v>
      </c>
      <c r="H28" s="292">
        <v>60</v>
      </c>
      <c r="I28" s="295">
        <v>60</v>
      </c>
    </row>
    <row r="29" spans="1:13" ht="13.5" customHeight="1" x14ac:dyDescent="0.25">
      <c r="A29" s="293" t="s">
        <v>563</v>
      </c>
      <c r="B29" s="294" t="s">
        <v>373</v>
      </c>
      <c r="C29" s="295" t="s">
        <v>374</v>
      </c>
      <c r="D29" s="284" t="s">
        <v>344</v>
      </c>
      <c r="E29" s="292">
        <v>2900</v>
      </c>
      <c r="F29" s="292">
        <v>2900</v>
      </c>
      <c r="G29" s="292">
        <v>2900</v>
      </c>
      <c r="H29" s="292">
        <v>2000</v>
      </c>
      <c r="I29" s="295">
        <v>2000</v>
      </c>
    </row>
    <row r="30" spans="1:13" ht="18" customHeight="1" x14ac:dyDescent="0.25">
      <c r="A30" s="293" t="s">
        <v>564</v>
      </c>
      <c r="B30" s="297" t="s">
        <v>375</v>
      </c>
      <c r="C30" s="298" t="s">
        <v>376</v>
      </c>
      <c r="D30" s="299" t="s">
        <v>344</v>
      </c>
      <c r="E30" s="300">
        <v>383</v>
      </c>
      <c r="F30" s="300">
        <v>383</v>
      </c>
      <c r="G30" s="300">
        <v>383</v>
      </c>
      <c r="H30" s="300">
        <v>250</v>
      </c>
      <c r="I30" s="295">
        <v>250</v>
      </c>
    </row>
    <row r="31" spans="1:13" ht="18" customHeight="1" x14ac:dyDescent="0.25">
      <c r="A31" s="293" t="s">
        <v>565</v>
      </c>
      <c r="B31" s="297"/>
      <c r="C31" s="298" t="s">
        <v>114</v>
      </c>
      <c r="D31" s="299"/>
      <c r="E31" s="300"/>
      <c r="F31" s="300"/>
      <c r="G31" s="300"/>
      <c r="H31" s="300">
        <v>2980</v>
      </c>
      <c r="I31" s="295">
        <v>2980</v>
      </c>
    </row>
    <row r="32" spans="1:13" ht="18" customHeight="1" x14ac:dyDescent="0.25">
      <c r="A32" s="293" t="s">
        <v>566</v>
      </c>
      <c r="B32" s="297" t="s">
        <v>115</v>
      </c>
      <c r="C32" s="298" t="s">
        <v>116</v>
      </c>
      <c r="D32" s="299" t="s">
        <v>344</v>
      </c>
      <c r="E32" s="300"/>
      <c r="F32" s="300"/>
      <c r="G32" s="300">
        <v>248</v>
      </c>
      <c r="H32" s="300">
        <v>248</v>
      </c>
      <c r="I32" s="295">
        <v>248</v>
      </c>
    </row>
    <row r="33" spans="1:13" ht="15.75" x14ac:dyDescent="0.25">
      <c r="A33" s="293" t="s">
        <v>567</v>
      </c>
      <c r="B33" s="295" t="s">
        <v>377</v>
      </c>
      <c r="C33" s="295" t="s">
        <v>378</v>
      </c>
      <c r="D33" s="284" t="s">
        <v>379</v>
      </c>
      <c r="E33" s="295">
        <v>1936</v>
      </c>
      <c r="F33" s="295">
        <v>1718</v>
      </c>
      <c r="G33" s="295">
        <v>1718</v>
      </c>
      <c r="H33" s="295">
        <v>1650</v>
      </c>
      <c r="I33" s="295">
        <v>1650</v>
      </c>
    </row>
    <row r="34" spans="1:13" ht="17.25" customHeight="1" x14ac:dyDescent="0.25">
      <c r="A34" s="293" t="s">
        <v>587</v>
      </c>
      <c r="B34" s="294" t="s">
        <v>380</v>
      </c>
      <c r="C34" s="295" t="s">
        <v>381</v>
      </c>
      <c r="D34" s="284" t="s">
        <v>344</v>
      </c>
      <c r="E34" s="292">
        <v>2500</v>
      </c>
      <c r="F34" s="292">
        <v>2500</v>
      </c>
      <c r="G34" s="292">
        <v>2500</v>
      </c>
      <c r="H34" s="292">
        <v>2500</v>
      </c>
      <c r="I34" s="295">
        <v>2500</v>
      </c>
    </row>
    <row r="35" spans="1:13" ht="20.25" customHeight="1" x14ac:dyDescent="0.25">
      <c r="A35" s="293" t="s">
        <v>588</v>
      </c>
      <c r="B35" s="294" t="s">
        <v>382</v>
      </c>
      <c r="C35" s="295" t="s">
        <v>383</v>
      </c>
      <c r="D35" s="296">
        <v>42124</v>
      </c>
      <c r="E35" s="292">
        <v>1250</v>
      </c>
      <c r="F35" s="292">
        <v>1250</v>
      </c>
      <c r="G35" s="308">
        <v>1250</v>
      </c>
      <c r="H35" s="308">
        <v>312</v>
      </c>
    </row>
    <row r="36" spans="1:13" ht="13.5" customHeight="1" x14ac:dyDescent="0.25">
      <c r="A36" s="293" t="s">
        <v>589</v>
      </c>
      <c r="B36" s="294"/>
      <c r="C36" s="295" t="s">
        <v>384</v>
      </c>
      <c r="D36" s="284" t="s">
        <v>344</v>
      </c>
      <c r="E36" s="292">
        <v>200</v>
      </c>
      <c r="F36" s="292">
        <v>200</v>
      </c>
      <c r="G36" s="292">
        <v>258</v>
      </c>
      <c r="H36" s="292">
        <v>258</v>
      </c>
      <c r="I36" s="295">
        <v>258</v>
      </c>
    </row>
    <row r="37" spans="1:13" ht="13.5" customHeight="1" x14ac:dyDescent="0.25">
      <c r="A37" s="293" t="s">
        <v>590</v>
      </c>
      <c r="B37" s="294" t="s">
        <v>385</v>
      </c>
      <c r="C37" s="295" t="s">
        <v>386</v>
      </c>
      <c r="D37" s="284" t="s">
        <v>344</v>
      </c>
      <c r="E37" s="292">
        <v>994</v>
      </c>
      <c r="F37" s="292">
        <v>994</v>
      </c>
      <c r="G37" s="292">
        <v>994</v>
      </c>
      <c r="H37" s="292">
        <v>994</v>
      </c>
      <c r="I37" s="295">
        <v>971</v>
      </c>
    </row>
    <row r="38" spans="1:13" ht="13.5" customHeight="1" x14ac:dyDescent="0.25">
      <c r="A38" s="293" t="s">
        <v>591</v>
      </c>
      <c r="B38" s="294" t="s">
        <v>117</v>
      </c>
      <c r="C38" s="295" t="s">
        <v>118</v>
      </c>
      <c r="D38" s="284" t="s">
        <v>344</v>
      </c>
      <c r="E38" s="292">
        <v>750</v>
      </c>
      <c r="F38" s="292">
        <v>750</v>
      </c>
      <c r="G38" s="292">
        <v>762</v>
      </c>
      <c r="H38" s="292">
        <v>762</v>
      </c>
      <c r="I38" s="295">
        <v>762</v>
      </c>
    </row>
    <row r="39" spans="1:13" ht="15.75" x14ac:dyDescent="0.25">
      <c r="A39" s="293" t="s">
        <v>592</v>
      </c>
      <c r="B39" s="294" t="s">
        <v>387</v>
      </c>
      <c r="C39" s="295" t="s">
        <v>388</v>
      </c>
      <c r="D39" s="296" t="s">
        <v>344</v>
      </c>
      <c r="E39" s="284">
        <v>330</v>
      </c>
      <c r="F39" s="295">
        <v>330</v>
      </c>
      <c r="G39" s="295">
        <v>330</v>
      </c>
      <c r="H39" s="295">
        <v>330</v>
      </c>
      <c r="I39" s="295">
        <v>330</v>
      </c>
      <c r="K39" s="309"/>
      <c r="M39" s="287"/>
    </row>
    <row r="40" spans="1:13" ht="15.75" x14ac:dyDescent="0.25">
      <c r="A40" s="293" t="s">
        <v>593</v>
      </c>
      <c r="B40" s="294" t="s">
        <v>389</v>
      </c>
      <c r="C40" s="295" t="s">
        <v>390</v>
      </c>
      <c r="D40" s="296" t="s">
        <v>344</v>
      </c>
      <c r="E40" s="284">
        <v>930</v>
      </c>
      <c r="F40" s="295">
        <v>930</v>
      </c>
      <c r="G40" s="295">
        <v>930</v>
      </c>
      <c r="H40" s="295">
        <v>930</v>
      </c>
      <c r="I40" s="295">
        <v>930</v>
      </c>
      <c r="K40" s="309"/>
      <c r="M40" s="287"/>
    </row>
    <row r="41" spans="1:13" ht="15.75" x14ac:dyDescent="0.25">
      <c r="A41" s="293" t="s">
        <v>594</v>
      </c>
      <c r="B41" s="294" t="s">
        <v>119</v>
      </c>
      <c r="C41" s="295" t="s">
        <v>120</v>
      </c>
      <c r="D41" s="296" t="s">
        <v>344</v>
      </c>
      <c r="E41" s="284"/>
      <c r="G41" s="295">
        <v>823</v>
      </c>
      <c r="H41" s="295">
        <v>823</v>
      </c>
      <c r="I41" s="295">
        <v>823</v>
      </c>
      <c r="K41" s="309"/>
      <c r="M41" s="287"/>
    </row>
    <row r="42" spans="1:13" ht="14.1" customHeight="1" x14ac:dyDescent="0.25">
      <c r="A42" s="293" t="s">
        <v>595</v>
      </c>
      <c r="B42" s="295" t="s">
        <v>391</v>
      </c>
      <c r="C42" s="295" t="s">
        <v>392</v>
      </c>
      <c r="D42" s="284" t="s">
        <v>344</v>
      </c>
      <c r="E42" s="295">
        <v>16</v>
      </c>
      <c r="F42" s="295">
        <v>16</v>
      </c>
      <c r="G42" s="295">
        <v>16</v>
      </c>
      <c r="H42" s="295">
        <v>16</v>
      </c>
      <c r="I42" s="295">
        <v>16</v>
      </c>
    </row>
    <row r="43" spans="1:13" s="288" customFormat="1" ht="30" x14ac:dyDescent="0.25">
      <c r="A43" s="293" t="s">
        <v>650</v>
      </c>
      <c r="B43" s="301" t="s">
        <v>393</v>
      </c>
      <c r="C43" s="310" t="s">
        <v>394</v>
      </c>
      <c r="D43" s="303" t="s">
        <v>344</v>
      </c>
      <c r="E43" s="311">
        <v>40</v>
      </c>
      <c r="F43" s="311">
        <v>40</v>
      </c>
      <c r="G43" s="311">
        <v>40</v>
      </c>
      <c r="H43" s="311">
        <v>40</v>
      </c>
      <c r="I43" s="305">
        <v>40</v>
      </c>
      <c r="J43" s="312"/>
      <c r="K43" s="313"/>
      <c r="M43" s="289"/>
    </row>
    <row r="44" spans="1:13" s="288" customFormat="1" ht="18" customHeight="1" x14ac:dyDescent="0.25">
      <c r="A44" s="293" t="s">
        <v>651</v>
      </c>
      <c r="B44" s="301" t="s">
        <v>395</v>
      </c>
      <c r="C44" s="310" t="s">
        <v>396</v>
      </c>
      <c r="D44" s="303" t="s">
        <v>344</v>
      </c>
      <c r="E44" s="311">
        <v>994</v>
      </c>
      <c r="F44" s="311">
        <v>994</v>
      </c>
      <c r="G44" s="311">
        <v>994</v>
      </c>
      <c r="H44" s="305">
        <v>994</v>
      </c>
      <c r="I44" s="305">
        <v>994</v>
      </c>
      <c r="J44" s="312"/>
      <c r="K44" s="313"/>
      <c r="M44" s="289"/>
    </row>
    <row r="45" spans="1:13" s="288" customFormat="1" ht="15.75" x14ac:dyDescent="0.25">
      <c r="A45" s="293" t="s">
        <v>652</v>
      </c>
      <c r="B45" s="301" t="s">
        <v>397</v>
      </c>
      <c r="C45" s="310" t="s">
        <v>398</v>
      </c>
      <c r="D45" s="303" t="s">
        <v>344</v>
      </c>
      <c r="E45" s="311">
        <v>176</v>
      </c>
      <c r="F45" s="311">
        <v>176</v>
      </c>
      <c r="G45" s="311">
        <v>176</v>
      </c>
      <c r="H45" s="305">
        <v>176</v>
      </c>
      <c r="I45" s="305">
        <v>176</v>
      </c>
      <c r="J45" s="312"/>
      <c r="K45" s="313"/>
      <c r="M45" s="289"/>
    </row>
    <row r="46" spans="1:13" ht="13.5" customHeight="1" x14ac:dyDescent="0.25">
      <c r="A46" s="293" t="s">
        <v>653</v>
      </c>
      <c r="B46" s="297" t="s">
        <v>399</v>
      </c>
      <c r="C46" s="298" t="s">
        <v>400</v>
      </c>
      <c r="D46" s="299" t="s">
        <v>344</v>
      </c>
      <c r="E46" s="300">
        <v>199</v>
      </c>
      <c r="F46" s="300">
        <v>199</v>
      </c>
      <c r="G46" s="293">
        <v>199</v>
      </c>
      <c r="H46" s="300">
        <v>199</v>
      </c>
      <c r="I46" s="295">
        <v>199</v>
      </c>
    </row>
    <row r="47" spans="1:13" ht="13.5" customHeight="1" x14ac:dyDescent="0.25">
      <c r="A47" s="293" t="s">
        <v>121</v>
      </c>
      <c r="B47" s="297" t="s">
        <v>401</v>
      </c>
      <c r="C47" s="298" t="s">
        <v>402</v>
      </c>
      <c r="D47" s="299" t="s">
        <v>344</v>
      </c>
      <c r="E47" s="300">
        <v>1863</v>
      </c>
      <c r="F47" s="300">
        <v>1863</v>
      </c>
      <c r="G47" s="300">
        <v>1863</v>
      </c>
      <c r="H47" s="300">
        <v>1863</v>
      </c>
      <c r="I47" s="295">
        <v>1900</v>
      </c>
    </row>
    <row r="48" spans="1:13" ht="13.5" customHeight="1" x14ac:dyDescent="0.25">
      <c r="A48" s="293" t="s">
        <v>678</v>
      </c>
      <c r="B48" s="297" t="s">
        <v>122</v>
      </c>
      <c r="C48" s="298" t="s">
        <v>123</v>
      </c>
      <c r="D48" s="299" t="s">
        <v>344</v>
      </c>
      <c r="E48" s="300"/>
      <c r="F48" s="300"/>
      <c r="G48" s="300">
        <v>29600</v>
      </c>
      <c r="H48" s="300">
        <v>29600</v>
      </c>
      <c r="I48" s="295">
        <v>29600</v>
      </c>
    </row>
    <row r="49" spans="1:13" s="288" customFormat="1" ht="15.75" x14ac:dyDescent="0.25">
      <c r="A49" s="293" t="s">
        <v>679</v>
      </c>
      <c r="B49" s="301" t="s">
        <v>403</v>
      </c>
      <c r="C49" s="302" t="s">
        <v>404</v>
      </c>
      <c r="D49" s="303" t="s">
        <v>344</v>
      </c>
      <c r="E49" s="304">
        <v>3600</v>
      </c>
      <c r="F49" s="304">
        <v>3600</v>
      </c>
      <c r="G49" s="304">
        <v>3600</v>
      </c>
      <c r="H49" s="304">
        <v>6553</v>
      </c>
      <c r="I49" s="305">
        <v>6553</v>
      </c>
      <c r="J49" s="312"/>
      <c r="K49" s="313"/>
      <c r="M49" s="289"/>
    </row>
    <row r="50" spans="1:13" s="288" customFormat="1" ht="15.75" x14ac:dyDescent="0.25">
      <c r="A50" s="293" t="s">
        <v>124</v>
      </c>
      <c r="B50" s="301" t="s">
        <v>405</v>
      </c>
      <c r="C50" s="302" t="s">
        <v>406</v>
      </c>
      <c r="D50" s="303" t="s">
        <v>344</v>
      </c>
      <c r="E50" s="304">
        <v>123</v>
      </c>
      <c r="F50" s="304">
        <v>123</v>
      </c>
      <c r="G50" s="304">
        <v>123</v>
      </c>
      <c r="H50" s="304">
        <v>123</v>
      </c>
      <c r="I50" s="305">
        <v>123</v>
      </c>
      <c r="J50" s="312"/>
      <c r="K50" s="313"/>
      <c r="M50" s="289"/>
    </row>
    <row r="51" spans="1:13" ht="14.1" customHeight="1" x14ac:dyDescent="0.25">
      <c r="A51" s="293" t="s">
        <v>125</v>
      </c>
      <c r="B51" s="295" t="s">
        <v>407</v>
      </c>
      <c r="C51" s="295" t="s">
        <v>408</v>
      </c>
      <c r="D51" s="284" t="s">
        <v>344</v>
      </c>
      <c r="E51" s="295">
        <v>225</v>
      </c>
      <c r="F51" s="295">
        <v>225</v>
      </c>
      <c r="G51" s="295">
        <v>225</v>
      </c>
      <c r="H51" s="295">
        <v>241</v>
      </c>
      <c r="I51" s="295">
        <v>241</v>
      </c>
    </row>
    <row r="52" spans="1:13" ht="14.1" customHeight="1" x14ac:dyDescent="0.25">
      <c r="A52" s="293" t="s">
        <v>126</v>
      </c>
      <c r="B52" s="295" t="s">
        <v>127</v>
      </c>
      <c r="C52" s="295" t="s">
        <v>128</v>
      </c>
      <c r="D52" s="284" t="s">
        <v>445</v>
      </c>
      <c r="G52" s="295">
        <v>600</v>
      </c>
      <c r="H52" s="295">
        <v>1200</v>
      </c>
      <c r="I52" s="295">
        <v>1200</v>
      </c>
    </row>
    <row r="53" spans="1:13" ht="14.1" customHeight="1" x14ac:dyDescent="0.25">
      <c r="A53" s="293" t="s">
        <v>129</v>
      </c>
      <c r="B53" s="295" t="s">
        <v>130</v>
      </c>
      <c r="C53" s="295" t="s">
        <v>131</v>
      </c>
      <c r="D53" s="284" t="s">
        <v>344</v>
      </c>
      <c r="H53" s="295">
        <v>243</v>
      </c>
      <c r="I53" s="295">
        <v>243</v>
      </c>
    </row>
    <row r="54" spans="1:13" ht="14.1" customHeight="1" x14ac:dyDescent="0.25">
      <c r="A54" s="293" t="s">
        <v>132</v>
      </c>
      <c r="B54" s="295" t="s">
        <v>409</v>
      </c>
      <c r="C54" s="295" t="s">
        <v>410</v>
      </c>
      <c r="D54" s="284" t="s">
        <v>344</v>
      </c>
      <c r="E54" s="295">
        <v>26</v>
      </c>
      <c r="F54" s="295">
        <v>26</v>
      </c>
      <c r="G54" s="295">
        <v>26</v>
      </c>
      <c r="H54" s="295">
        <v>26</v>
      </c>
      <c r="I54" s="295">
        <v>26</v>
      </c>
    </row>
    <row r="55" spans="1:13" s="288" customFormat="1" ht="15.75" x14ac:dyDescent="0.25">
      <c r="A55" s="293" t="s">
        <v>133</v>
      </c>
      <c r="B55" s="301" t="s">
        <v>411</v>
      </c>
      <c r="C55" s="302" t="s">
        <v>412</v>
      </c>
      <c r="D55" s="303" t="s">
        <v>344</v>
      </c>
      <c r="E55" s="304">
        <v>5</v>
      </c>
      <c r="F55" s="304">
        <v>5</v>
      </c>
      <c r="G55" s="304">
        <v>5</v>
      </c>
      <c r="H55" s="305">
        <v>5</v>
      </c>
      <c r="I55" s="305">
        <v>5</v>
      </c>
      <c r="J55" s="312"/>
      <c r="K55" s="313"/>
      <c r="M55" s="289"/>
    </row>
    <row r="56" spans="1:13" s="290" customFormat="1" ht="13.5" customHeight="1" x14ac:dyDescent="0.25">
      <c r="A56" s="293" t="s">
        <v>134</v>
      </c>
      <c r="B56" s="301" t="s">
        <v>413</v>
      </c>
      <c r="C56" s="302" t="s">
        <v>414</v>
      </c>
      <c r="D56" s="303" t="s">
        <v>344</v>
      </c>
      <c r="E56" s="304">
        <v>250</v>
      </c>
      <c r="F56" s="304">
        <v>250</v>
      </c>
      <c r="G56" s="304">
        <v>250</v>
      </c>
      <c r="H56" s="304">
        <v>250</v>
      </c>
      <c r="I56" s="305">
        <v>250</v>
      </c>
      <c r="J56" s="306"/>
      <c r="K56" s="307"/>
      <c r="M56" s="291"/>
    </row>
    <row r="57" spans="1:13" s="290" customFormat="1" ht="13.5" customHeight="1" x14ac:dyDescent="0.25">
      <c r="A57" s="293" t="s">
        <v>135</v>
      </c>
      <c r="B57" s="301" t="s">
        <v>136</v>
      </c>
      <c r="C57" s="302" t="s">
        <v>137</v>
      </c>
      <c r="D57" s="303" t="s">
        <v>445</v>
      </c>
      <c r="E57" s="304"/>
      <c r="F57" s="304"/>
      <c r="G57" s="304">
        <v>2439</v>
      </c>
      <c r="H57" s="304">
        <v>3658</v>
      </c>
      <c r="I57" s="305">
        <v>3658</v>
      </c>
      <c r="J57" s="306"/>
      <c r="K57" s="307"/>
      <c r="M57" s="291"/>
    </row>
    <row r="58" spans="1:13" s="290" customFormat="1" ht="13.5" customHeight="1" x14ac:dyDescent="0.25">
      <c r="A58" s="293" t="s">
        <v>138</v>
      </c>
      <c r="B58" s="301" t="s">
        <v>139</v>
      </c>
      <c r="C58" s="302" t="s">
        <v>140</v>
      </c>
      <c r="D58" s="303" t="s">
        <v>445</v>
      </c>
      <c r="E58" s="304"/>
      <c r="F58" s="304"/>
      <c r="G58" s="304">
        <v>2438</v>
      </c>
      <c r="H58" s="304">
        <v>2438</v>
      </c>
      <c r="I58" s="305">
        <v>2438</v>
      </c>
      <c r="J58" s="306"/>
      <c r="K58" s="307"/>
      <c r="M58" s="291"/>
    </row>
    <row r="59" spans="1:13" s="290" customFormat="1" ht="13.5" customHeight="1" x14ac:dyDescent="0.25">
      <c r="A59" s="293" t="s">
        <v>141</v>
      </c>
      <c r="B59" s="301" t="s">
        <v>142</v>
      </c>
      <c r="C59" s="302" t="s">
        <v>143</v>
      </c>
      <c r="D59" s="303" t="s">
        <v>344</v>
      </c>
      <c r="E59" s="304"/>
      <c r="F59" s="304"/>
      <c r="G59" s="304">
        <v>610</v>
      </c>
      <c r="H59" s="304">
        <v>610</v>
      </c>
      <c r="I59" s="305">
        <v>610</v>
      </c>
      <c r="J59" s="306"/>
      <c r="K59" s="307"/>
      <c r="M59" s="291"/>
    </row>
    <row r="60" spans="1:13" s="290" customFormat="1" ht="13.5" customHeight="1" x14ac:dyDescent="0.25">
      <c r="A60" s="293" t="s">
        <v>144</v>
      </c>
      <c r="B60" s="301" t="s">
        <v>415</v>
      </c>
      <c r="C60" s="302" t="s">
        <v>416</v>
      </c>
      <c r="D60" s="303">
        <v>43496</v>
      </c>
      <c r="E60" s="304">
        <v>2865</v>
      </c>
      <c r="F60" s="304">
        <v>2865</v>
      </c>
      <c r="G60" s="304">
        <v>2865</v>
      </c>
      <c r="H60" s="304">
        <v>2865</v>
      </c>
      <c r="I60" s="305">
        <v>2865</v>
      </c>
      <c r="J60" s="306"/>
      <c r="K60" s="307"/>
      <c r="M60" s="291"/>
    </row>
    <row r="61" spans="1:13" s="290" customFormat="1" ht="13.5" customHeight="1" x14ac:dyDescent="0.25">
      <c r="A61" s="293" t="s">
        <v>145</v>
      </c>
      <c r="B61" s="301" t="s">
        <v>146</v>
      </c>
      <c r="C61" s="302" t="s">
        <v>147</v>
      </c>
      <c r="D61" s="303"/>
      <c r="E61" s="304">
        <v>175</v>
      </c>
      <c r="F61" s="304">
        <v>175</v>
      </c>
      <c r="G61" s="304">
        <v>175</v>
      </c>
      <c r="H61" s="304">
        <v>175</v>
      </c>
      <c r="I61" s="305">
        <v>175</v>
      </c>
      <c r="J61" s="306"/>
      <c r="K61" s="307"/>
      <c r="M61" s="291"/>
    </row>
    <row r="62" spans="1:13" s="290" customFormat="1" ht="13.5" customHeight="1" x14ac:dyDescent="0.25">
      <c r="A62" s="293" t="s">
        <v>148</v>
      </c>
      <c r="B62" s="301" t="s">
        <v>417</v>
      </c>
      <c r="C62" s="302" t="s">
        <v>418</v>
      </c>
      <c r="D62" s="303" t="s">
        <v>344</v>
      </c>
      <c r="E62" s="304">
        <v>217</v>
      </c>
      <c r="F62" s="304">
        <v>217</v>
      </c>
      <c r="G62" s="304">
        <v>217</v>
      </c>
      <c r="H62" s="304">
        <v>217</v>
      </c>
      <c r="I62" s="305">
        <v>217</v>
      </c>
      <c r="J62" s="306"/>
      <c r="K62" s="307"/>
      <c r="M62" s="291"/>
    </row>
    <row r="63" spans="1:13" s="290" customFormat="1" ht="13.5" customHeight="1" x14ac:dyDescent="0.25">
      <c r="A63" s="293" t="s">
        <v>149</v>
      </c>
      <c r="B63" s="294" t="s">
        <v>419</v>
      </c>
      <c r="C63" s="314" t="s">
        <v>420</v>
      </c>
      <c r="D63" s="303" t="s">
        <v>344</v>
      </c>
      <c r="E63" s="323">
        <v>15</v>
      </c>
      <c r="F63" s="323">
        <v>15</v>
      </c>
      <c r="G63" s="304">
        <v>15</v>
      </c>
      <c r="H63" s="304">
        <v>15</v>
      </c>
      <c r="I63" s="305">
        <v>15</v>
      </c>
      <c r="J63" s="306"/>
      <c r="K63" s="307"/>
      <c r="M63" s="291"/>
    </row>
    <row r="64" spans="1:13" s="290" customFormat="1" ht="13.5" customHeight="1" x14ac:dyDescent="0.25">
      <c r="A64" s="293" t="s">
        <v>150</v>
      </c>
      <c r="B64" s="294" t="s">
        <v>419</v>
      </c>
      <c r="C64" s="314" t="s">
        <v>421</v>
      </c>
      <c r="D64" s="303" t="s">
        <v>344</v>
      </c>
      <c r="E64" s="323">
        <v>150</v>
      </c>
      <c r="F64" s="323">
        <v>150</v>
      </c>
      <c r="G64" s="304">
        <v>150</v>
      </c>
      <c r="H64" s="304">
        <v>226</v>
      </c>
      <c r="I64" s="305">
        <v>226</v>
      </c>
      <c r="J64" s="306"/>
      <c r="K64" s="307"/>
      <c r="M64" s="291"/>
    </row>
    <row r="65" spans="1:13" s="290" customFormat="1" ht="13.5" customHeight="1" x14ac:dyDescent="0.25">
      <c r="A65" s="293" t="s">
        <v>151</v>
      </c>
      <c r="B65" s="294" t="s">
        <v>422</v>
      </c>
      <c r="C65" s="314" t="s">
        <v>423</v>
      </c>
      <c r="D65" s="303" t="s">
        <v>344</v>
      </c>
      <c r="E65" s="323">
        <v>75</v>
      </c>
      <c r="F65" s="323">
        <v>75</v>
      </c>
      <c r="G65" s="304">
        <v>75</v>
      </c>
      <c r="H65" s="304">
        <v>45</v>
      </c>
      <c r="I65" s="305">
        <v>45</v>
      </c>
      <c r="J65" s="306"/>
      <c r="K65" s="307"/>
      <c r="M65" s="291"/>
    </row>
    <row r="66" spans="1:13" s="290" customFormat="1" ht="13.5" customHeight="1" x14ac:dyDescent="0.25">
      <c r="A66" s="293" t="s">
        <v>152</v>
      </c>
      <c r="B66" s="301"/>
      <c r="C66" s="302" t="s">
        <v>153</v>
      </c>
      <c r="D66" s="303" t="s">
        <v>445</v>
      </c>
      <c r="E66" s="304"/>
      <c r="F66" s="304"/>
      <c r="G66" s="304">
        <v>347</v>
      </c>
      <c r="H66" s="304">
        <v>347</v>
      </c>
      <c r="I66" s="305">
        <v>347</v>
      </c>
      <c r="J66" s="306"/>
      <c r="K66" s="307"/>
      <c r="M66" s="291"/>
    </row>
    <row r="67" spans="1:13" s="290" customFormat="1" ht="13.5" customHeight="1" x14ac:dyDescent="0.25">
      <c r="A67" s="293" t="s">
        <v>154</v>
      </c>
      <c r="B67" s="301" t="s">
        <v>155</v>
      </c>
      <c r="C67" s="302" t="s">
        <v>156</v>
      </c>
      <c r="D67" s="303" t="s">
        <v>445</v>
      </c>
      <c r="E67" s="304"/>
      <c r="F67" s="304"/>
      <c r="G67" s="304">
        <v>54</v>
      </c>
      <c r="H67" s="304">
        <v>216</v>
      </c>
      <c r="I67" s="305">
        <v>216</v>
      </c>
      <c r="J67" s="306"/>
      <c r="K67" s="307"/>
      <c r="M67" s="291"/>
    </row>
    <row r="68" spans="1:13" s="290" customFormat="1" ht="13.5" customHeight="1" x14ac:dyDescent="0.25">
      <c r="A68" s="293" t="s">
        <v>157</v>
      </c>
      <c r="B68" s="301"/>
      <c r="C68" s="302" t="s">
        <v>158</v>
      </c>
      <c r="D68" s="303" t="s">
        <v>445</v>
      </c>
      <c r="E68" s="304"/>
      <c r="F68" s="304"/>
      <c r="G68" s="304">
        <v>380</v>
      </c>
      <c r="H68" s="304">
        <v>380</v>
      </c>
      <c r="I68" s="305">
        <v>380</v>
      </c>
      <c r="J68" s="306"/>
      <c r="K68" s="307"/>
      <c r="M68" s="291"/>
    </row>
    <row r="69" spans="1:13" s="290" customFormat="1" ht="13.5" customHeight="1" x14ac:dyDescent="0.25">
      <c r="A69" s="293" t="s">
        <v>159</v>
      </c>
      <c r="B69" s="301" t="s">
        <v>424</v>
      </c>
      <c r="C69" s="302" t="s">
        <v>425</v>
      </c>
      <c r="D69" s="303" t="s">
        <v>344</v>
      </c>
      <c r="E69" s="304">
        <v>1800</v>
      </c>
      <c r="F69" s="304">
        <v>1800</v>
      </c>
      <c r="G69" s="304">
        <v>1800</v>
      </c>
      <c r="H69" s="304">
        <v>1500</v>
      </c>
      <c r="I69" s="305">
        <v>1500</v>
      </c>
      <c r="J69" s="306"/>
      <c r="K69" s="307"/>
      <c r="M69" s="291"/>
    </row>
    <row r="70" spans="1:13" s="290" customFormat="1" ht="13.5" customHeight="1" x14ac:dyDescent="0.25">
      <c r="A70" s="293" t="s">
        <v>160</v>
      </c>
      <c r="B70" s="301" t="s">
        <v>426</v>
      </c>
      <c r="C70" s="302" t="s">
        <v>427</v>
      </c>
      <c r="D70" s="303" t="s">
        <v>344</v>
      </c>
      <c r="E70" s="304">
        <v>1875</v>
      </c>
      <c r="F70" s="304">
        <v>2000</v>
      </c>
      <c r="G70" s="304">
        <v>2000</v>
      </c>
      <c r="H70" s="304">
        <v>1700</v>
      </c>
      <c r="I70" s="305">
        <v>1700</v>
      </c>
      <c r="J70" s="306"/>
      <c r="K70" s="307"/>
      <c r="M70" s="291"/>
    </row>
    <row r="71" spans="1:13" ht="13.5" customHeight="1" x14ac:dyDescent="0.25">
      <c r="A71" s="293" t="s">
        <v>161</v>
      </c>
      <c r="B71" s="1466" t="s">
        <v>428</v>
      </c>
      <c r="C71" s="1466"/>
      <c r="E71" s="333">
        <f>SUM(E12:E70)</f>
        <v>127862</v>
      </c>
      <c r="F71" s="333">
        <f>SUM(F12:F70)</f>
        <v>115727</v>
      </c>
      <c r="G71" s="333">
        <f>SUM(G12:G70)</f>
        <v>108085</v>
      </c>
      <c r="H71" s="333">
        <f>SUM(H12:H70)</f>
        <v>165363</v>
      </c>
      <c r="I71" s="333">
        <f>SUM(I12:I70)</f>
        <v>164803</v>
      </c>
    </row>
    <row r="72" spans="1:13" ht="9.75" customHeight="1" x14ac:dyDescent="0.25">
      <c r="A72" s="293"/>
      <c r="B72" s="281"/>
      <c r="C72" s="294"/>
      <c r="E72" s="292"/>
      <c r="F72" s="292"/>
      <c r="G72" s="292"/>
      <c r="H72" s="292"/>
    </row>
    <row r="73" spans="1:13" ht="6.75" customHeight="1" x14ac:dyDescent="0.25">
      <c r="E73" s="292"/>
      <c r="F73" s="292"/>
      <c r="G73" s="292"/>
      <c r="H73" s="292"/>
    </row>
    <row r="74" spans="1:13" ht="13.5" customHeight="1" x14ac:dyDescent="0.25">
      <c r="E74" s="292"/>
      <c r="F74" s="292"/>
      <c r="G74" s="292"/>
      <c r="H74" s="292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4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A49"/>
  <sheetViews>
    <sheetView zoomScale="120" workbookViewId="0">
      <selection activeCell="H8" sqref="H8:J8"/>
    </sheetView>
  </sheetViews>
  <sheetFormatPr defaultColWidth="9.140625" defaultRowHeight="11.25" x14ac:dyDescent="0.2"/>
  <cols>
    <col min="1" max="1" width="4.85546875" style="119" customWidth="1"/>
    <col min="2" max="2" width="42.85546875" style="119" customWidth="1"/>
    <col min="3" max="3" width="11" style="120" customWidth="1"/>
    <col min="4" max="4" width="11.42578125" style="120" customWidth="1"/>
    <col min="5" max="10" width="12" style="120" customWidth="1"/>
    <col min="11" max="11" width="37" style="120" customWidth="1"/>
    <col min="12" max="12" width="11.140625" style="120" customWidth="1"/>
    <col min="13" max="13" width="12.85546875" style="120" customWidth="1"/>
    <col min="14" max="14" width="16" style="120" customWidth="1"/>
    <col min="15" max="27" width="9.140625" style="119"/>
    <col min="28" max="16384" width="9.140625" style="10"/>
  </cols>
  <sheetData>
    <row r="1" spans="1:27" ht="12.75" customHeight="1" x14ac:dyDescent="0.2">
      <c r="A1" s="1214" t="s">
        <v>1284</v>
      </c>
      <c r="B1" s="1214"/>
      <c r="C1" s="1214"/>
      <c r="D1" s="1214"/>
      <c r="E1" s="1214"/>
      <c r="F1" s="1214"/>
      <c r="G1" s="1214"/>
      <c r="H1" s="1214"/>
      <c r="I1" s="1214"/>
      <c r="J1" s="1214"/>
      <c r="K1" s="1214"/>
      <c r="L1" s="1214"/>
      <c r="M1" s="1214"/>
      <c r="N1" s="1214"/>
    </row>
    <row r="2" spans="1:27" x14ac:dyDescent="0.2">
      <c r="B2" s="415"/>
      <c r="N2" s="121"/>
    </row>
    <row r="3" spans="1:27" s="99" customFormat="1" x14ac:dyDescent="0.2">
      <c r="A3" s="122"/>
      <c r="B3" s="1215" t="s">
        <v>54</v>
      </c>
      <c r="C3" s="1215"/>
      <c r="D3" s="1215"/>
      <c r="E3" s="1215"/>
      <c r="F3" s="1215"/>
      <c r="G3" s="1215"/>
      <c r="H3" s="1215"/>
      <c r="I3" s="1215"/>
      <c r="J3" s="1215"/>
      <c r="K3" s="1215"/>
      <c r="L3" s="1215"/>
      <c r="M3" s="1215"/>
      <c r="N3" s="1215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</row>
    <row r="4" spans="1:27" s="99" customFormat="1" x14ac:dyDescent="0.2">
      <c r="A4" s="122"/>
      <c r="B4" s="1215" t="s">
        <v>1100</v>
      </c>
      <c r="C4" s="1215"/>
      <c r="D4" s="1215"/>
      <c r="E4" s="1215"/>
      <c r="F4" s="1215"/>
      <c r="G4" s="1215"/>
      <c r="H4" s="1215"/>
      <c r="I4" s="1215"/>
      <c r="J4" s="1215"/>
      <c r="K4" s="1215"/>
      <c r="L4" s="1215"/>
      <c r="M4" s="1215"/>
      <c r="N4" s="1215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</row>
    <row r="5" spans="1:27" s="99" customFormat="1" ht="12.75" customHeight="1" x14ac:dyDescent="0.2">
      <c r="A5" s="1247" t="s">
        <v>315</v>
      </c>
      <c r="B5" s="1247"/>
      <c r="C5" s="1247"/>
      <c r="D5" s="1247"/>
      <c r="E5" s="1247"/>
      <c r="F5" s="1247"/>
      <c r="G5" s="1247"/>
      <c r="H5" s="1247"/>
      <c r="I5" s="1247"/>
      <c r="J5" s="1247"/>
      <c r="K5" s="1247"/>
      <c r="L5" s="1226"/>
      <c r="M5" s="1226"/>
      <c r="N5" s="1226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</row>
    <row r="6" spans="1:27" s="99" customFormat="1" ht="12.75" customHeight="1" x14ac:dyDescent="0.2">
      <c r="A6" s="1217" t="s">
        <v>56</v>
      </c>
      <c r="B6" s="1218" t="s">
        <v>57</v>
      </c>
      <c r="C6" s="1243" t="s">
        <v>58</v>
      </c>
      <c r="D6" s="1243"/>
      <c r="E6" s="1244"/>
      <c r="F6" s="712"/>
      <c r="G6" s="712"/>
      <c r="H6" s="712"/>
      <c r="I6" s="712"/>
      <c r="J6" s="712"/>
      <c r="K6" s="1" t="s">
        <v>59</v>
      </c>
      <c r="L6" s="1242" t="s">
        <v>60</v>
      </c>
      <c r="M6" s="1242"/>
      <c r="N6" s="1242"/>
      <c r="O6" s="1242"/>
      <c r="P6" s="1242"/>
      <c r="Q6" s="1242"/>
      <c r="R6" s="1242"/>
      <c r="S6" s="1242"/>
      <c r="T6" s="122"/>
      <c r="U6" s="122"/>
    </row>
    <row r="7" spans="1:27" s="99" customFormat="1" ht="12.75" customHeight="1" x14ac:dyDescent="0.2">
      <c r="A7" s="1248"/>
      <c r="B7" s="1218"/>
      <c r="C7" s="1245" t="s">
        <v>1099</v>
      </c>
      <c r="D7" s="1245"/>
      <c r="E7" s="1246"/>
      <c r="F7" s="1220" t="s">
        <v>1294</v>
      </c>
      <c r="G7" s="1220"/>
      <c r="H7" s="1222" t="s">
        <v>1292</v>
      </c>
      <c r="I7" s="1223"/>
      <c r="J7" s="1224"/>
      <c r="K7" s="2"/>
      <c r="L7" s="1228" t="s">
        <v>1099</v>
      </c>
      <c r="M7" s="1228"/>
      <c r="N7" s="1229"/>
      <c r="O7" s="1220" t="s">
        <v>1294</v>
      </c>
      <c r="P7" s="1220"/>
      <c r="Q7" s="1220" t="s">
        <v>1292</v>
      </c>
      <c r="R7" s="1220"/>
      <c r="S7" s="1220"/>
    </row>
    <row r="8" spans="1:27" s="100" customFormat="1" ht="36.6" customHeight="1" x14ac:dyDescent="0.2">
      <c r="A8" s="1249"/>
      <c r="B8" s="716" t="s">
        <v>61</v>
      </c>
      <c r="C8" s="717" t="s">
        <v>62</v>
      </c>
      <c r="D8" s="717" t="s">
        <v>63</v>
      </c>
      <c r="E8" s="718" t="s">
        <v>64</v>
      </c>
      <c r="F8" s="719" t="s">
        <v>62</v>
      </c>
      <c r="G8" s="719" t="s">
        <v>63</v>
      </c>
      <c r="H8" s="717" t="s">
        <v>62</v>
      </c>
      <c r="I8" s="717" t="s">
        <v>63</v>
      </c>
      <c r="J8" s="718" t="s">
        <v>64</v>
      </c>
      <c r="K8" s="713" t="s">
        <v>65</v>
      </c>
      <c r="L8" s="717" t="s">
        <v>62</v>
      </c>
      <c r="M8" s="717" t="s">
        <v>63</v>
      </c>
      <c r="N8" s="718" t="s">
        <v>64</v>
      </c>
      <c r="O8" s="761" t="s">
        <v>62</v>
      </c>
      <c r="P8" s="761" t="s">
        <v>63</v>
      </c>
      <c r="Q8" s="761" t="s">
        <v>62</v>
      </c>
      <c r="R8" s="761" t="s">
        <v>63</v>
      </c>
      <c r="S8" s="761" t="s">
        <v>64</v>
      </c>
    </row>
    <row r="9" spans="1:27" ht="11.45" customHeight="1" x14ac:dyDescent="0.2">
      <c r="A9" s="123">
        <v>1</v>
      </c>
      <c r="B9" s="720" t="s">
        <v>24</v>
      </c>
      <c r="C9" s="721"/>
      <c r="D9" s="721"/>
      <c r="E9" s="721"/>
      <c r="F9" s="721"/>
      <c r="G9" s="721"/>
      <c r="H9" s="721"/>
      <c r="I9" s="721"/>
      <c r="J9" s="721"/>
      <c r="K9" s="722" t="s">
        <v>25</v>
      </c>
      <c r="L9" s="721"/>
      <c r="M9" s="721"/>
      <c r="N9" s="723"/>
      <c r="O9" s="724"/>
      <c r="P9" s="724"/>
      <c r="Q9" s="724"/>
      <c r="R9" s="724"/>
      <c r="S9" s="725"/>
      <c r="T9" s="10"/>
      <c r="U9" s="10"/>
      <c r="V9" s="10"/>
      <c r="W9" s="10"/>
      <c r="X9" s="10"/>
      <c r="Y9" s="10"/>
      <c r="Z9" s="10"/>
      <c r="AA9" s="10"/>
    </row>
    <row r="10" spans="1:27" x14ac:dyDescent="0.2">
      <c r="A10" s="123">
        <f t="shared" ref="A10:A44" si="0">A9+1</f>
        <v>2</v>
      </c>
      <c r="B10" s="726"/>
      <c r="C10" s="731"/>
      <c r="D10" s="731"/>
      <c r="E10" s="731"/>
      <c r="F10" s="731"/>
      <c r="G10" s="731"/>
      <c r="H10" s="731"/>
      <c r="I10" s="731"/>
      <c r="J10" s="731"/>
      <c r="K10" s="731"/>
      <c r="L10" s="731"/>
      <c r="M10" s="731"/>
      <c r="N10" s="776"/>
      <c r="O10" s="724"/>
      <c r="P10" s="724"/>
      <c r="Q10" s="724"/>
      <c r="R10" s="724"/>
      <c r="S10" s="725"/>
      <c r="T10" s="10"/>
      <c r="U10" s="10"/>
      <c r="V10" s="10"/>
      <c r="W10" s="10"/>
      <c r="X10" s="10"/>
      <c r="Y10" s="10"/>
      <c r="Z10" s="10"/>
      <c r="AA10" s="10"/>
    </row>
    <row r="11" spans="1:27" x14ac:dyDescent="0.2">
      <c r="A11" s="123">
        <f t="shared" si="0"/>
        <v>3</v>
      </c>
      <c r="B11" s="726" t="s">
        <v>38</v>
      </c>
      <c r="C11" s="731">
        <f>Össz.önkor.mérleg.!C14</f>
        <v>0</v>
      </c>
      <c r="D11" s="731">
        <f>Össz.önkor.mérleg.!D14</f>
        <v>0</v>
      </c>
      <c r="E11" s="731">
        <f>Össz.önkor.mérleg.!E14</f>
        <v>0</v>
      </c>
      <c r="F11" s="731"/>
      <c r="G11" s="731"/>
      <c r="H11" s="731"/>
      <c r="I11" s="731"/>
      <c r="J11" s="731"/>
      <c r="K11" s="722" t="s">
        <v>34</v>
      </c>
      <c r="L11" s="721"/>
      <c r="M11" s="721"/>
      <c r="N11" s="723"/>
      <c r="O11" s="724"/>
      <c r="P11" s="724"/>
      <c r="Q11" s="724"/>
      <c r="R11" s="724"/>
      <c r="S11" s="725"/>
      <c r="T11" s="10"/>
      <c r="U11" s="10"/>
      <c r="V11" s="10"/>
      <c r="W11" s="10"/>
      <c r="X11" s="10"/>
      <c r="Y11" s="10"/>
      <c r="Z11" s="10"/>
      <c r="AA11" s="10"/>
    </row>
    <row r="12" spans="1:27" x14ac:dyDescent="0.2">
      <c r="A12" s="123">
        <f t="shared" si="0"/>
        <v>4</v>
      </c>
      <c r="B12" s="726" t="s">
        <v>1277</v>
      </c>
      <c r="C12" s="731">
        <f>Össz.önkor.mérleg.!C15</f>
        <v>8750</v>
      </c>
      <c r="D12" s="731">
        <f>Össz.önkor.mérleg.!D15</f>
        <v>0</v>
      </c>
      <c r="E12" s="731">
        <f>Össz.önkor.mérleg.!E15</f>
        <v>8750</v>
      </c>
      <c r="F12" s="731"/>
      <c r="G12" s="731"/>
      <c r="H12" s="731"/>
      <c r="I12" s="731"/>
      <c r="J12" s="731"/>
      <c r="K12" s="722"/>
      <c r="L12" s="721"/>
      <c r="M12" s="721"/>
      <c r="N12" s="723"/>
      <c r="O12" s="724"/>
      <c r="P12" s="724"/>
      <c r="Q12" s="724"/>
      <c r="R12" s="724"/>
      <c r="S12" s="725"/>
      <c r="T12" s="10"/>
      <c r="U12" s="10"/>
      <c r="V12" s="10"/>
      <c r="W12" s="10"/>
      <c r="X12" s="10"/>
      <c r="Y12" s="10"/>
      <c r="Z12" s="10"/>
      <c r="AA12" s="10"/>
    </row>
    <row r="13" spans="1:27" x14ac:dyDescent="0.2">
      <c r="A13" s="123">
        <f t="shared" si="0"/>
        <v>5</v>
      </c>
      <c r="B13" s="729" t="s">
        <v>1278</v>
      </c>
      <c r="C13" s="731">
        <f>Össz.önkor.mérleg.!C16</f>
        <v>0</v>
      </c>
      <c r="D13" s="731">
        <f>Össz.önkor.mérleg.!D16</f>
        <v>93253</v>
      </c>
      <c r="E13" s="731">
        <f>Össz.önkor.mérleg.!E16</f>
        <v>93253</v>
      </c>
      <c r="F13" s="731"/>
      <c r="G13" s="731"/>
      <c r="H13" s="731"/>
      <c r="I13" s="731"/>
      <c r="J13" s="731"/>
      <c r="K13" s="722"/>
      <c r="L13" s="721"/>
      <c r="M13" s="721"/>
      <c r="N13" s="723"/>
      <c r="O13" s="724"/>
      <c r="P13" s="724"/>
      <c r="Q13" s="724"/>
      <c r="R13" s="724"/>
      <c r="S13" s="725"/>
      <c r="T13" s="10"/>
      <c r="U13" s="10"/>
      <c r="V13" s="10"/>
      <c r="W13" s="10"/>
      <c r="X13" s="10"/>
      <c r="Y13" s="10"/>
      <c r="Z13" s="10"/>
      <c r="AA13" s="10"/>
    </row>
    <row r="14" spans="1:27" x14ac:dyDescent="0.2">
      <c r="A14" s="123">
        <f t="shared" si="0"/>
        <v>6</v>
      </c>
      <c r="B14" s="724" t="s">
        <v>659</v>
      </c>
      <c r="C14" s="731"/>
      <c r="D14" s="776"/>
      <c r="E14" s="776"/>
      <c r="F14" s="776"/>
      <c r="G14" s="776"/>
      <c r="H14" s="776"/>
      <c r="I14" s="776"/>
      <c r="J14" s="776"/>
      <c r="K14" s="731" t="s">
        <v>654</v>
      </c>
      <c r="L14" s="723">
        <f>Össz.önkor.mérleg.!L27</f>
        <v>2092394</v>
      </c>
      <c r="M14" s="723">
        <f>Össz.önkor.mérleg.!M27</f>
        <v>162773</v>
      </c>
      <c r="N14" s="723">
        <f>Össz.önkor.mérleg.!N27</f>
        <v>2255167</v>
      </c>
      <c r="O14" s="724"/>
      <c r="P14" s="724"/>
      <c r="Q14" s="724"/>
      <c r="R14" s="724"/>
      <c r="S14" s="725"/>
      <c r="T14" s="10"/>
      <c r="U14" s="10"/>
      <c r="V14" s="10"/>
      <c r="W14" s="10"/>
      <c r="X14" s="10"/>
      <c r="Y14" s="10"/>
      <c r="Z14" s="10"/>
      <c r="AA14" s="10"/>
    </row>
    <row r="15" spans="1:27" ht="12" customHeight="1" x14ac:dyDescent="0.2">
      <c r="A15" s="123">
        <f t="shared" si="0"/>
        <v>7</v>
      </c>
      <c r="B15" s="724" t="s">
        <v>43</v>
      </c>
      <c r="C15" s="731"/>
      <c r="D15" s="776"/>
      <c r="E15" s="776"/>
      <c r="F15" s="776"/>
      <c r="G15" s="776"/>
      <c r="H15" s="776"/>
      <c r="I15" s="776"/>
      <c r="J15" s="776"/>
      <c r="K15" s="731" t="s">
        <v>31</v>
      </c>
      <c r="L15" s="723">
        <f>Össz.önkor.mérleg.!L28</f>
        <v>10448</v>
      </c>
      <c r="M15" s="723">
        <f>Össz.önkor.mérleg.!M28</f>
        <v>0</v>
      </c>
      <c r="N15" s="723">
        <f>SUM(L15:M15)</f>
        <v>10448</v>
      </c>
      <c r="O15" s="724"/>
      <c r="P15" s="724"/>
      <c r="Q15" s="724"/>
      <c r="R15" s="724"/>
      <c r="S15" s="725"/>
      <c r="T15" s="10"/>
      <c r="U15" s="10"/>
      <c r="V15" s="10"/>
      <c r="W15" s="10"/>
      <c r="X15" s="10"/>
      <c r="Y15" s="10"/>
      <c r="Z15" s="10"/>
      <c r="AA15" s="10"/>
    </row>
    <row r="16" spans="1:27" x14ac:dyDescent="0.2">
      <c r="A16" s="123">
        <f t="shared" si="0"/>
        <v>8</v>
      </c>
      <c r="B16" s="726" t="s">
        <v>44</v>
      </c>
      <c r="C16" s="731">
        <f>Össz.önkor.mérleg.!C18</f>
        <v>0</v>
      </c>
      <c r="D16" s="777">
        <f>Össz.önkor.mérleg.!D24</f>
        <v>203461</v>
      </c>
      <c r="E16" s="731">
        <f>Össz.önkor.mérleg.!E24</f>
        <v>203461</v>
      </c>
      <c r="F16" s="731"/>
      <c r="G16" s="731"/>
      <c r="H16" s="731"/>
      <c r="I16" s="731"/>
      <c r="J16" s="731"/>
      <c r="K16" s="731" t="s">
        <v>32</v>
      </c>
      <c r="L16" s="723">
        <f>Össz.önkor.mérleg.!L29</f>
        <v>0</v>
      </c>
      <c r="M16" s="723">
        <f>Össz.önkor.mérleg.!M29</f>
        <v>0</v>
      </c>
      <c r="N16" s="723">
        <f>SUM(L16:M16)</f>
        <v>0</v>
      </c>
      <c r="O16" s="724"/>
      <c r="P16" s="724"/>
      <c r="Q16" s="724"/>
      <c r="R16" s="724"/>
      <c r="S16" s="725"/>
      <c r="T16" s="10"/>
      <c r="U16" s="10"/>
      <c r="V16" s="10"/>
      <c r="W16" s="10"/>
      <c r="X16" s="10"/>
      <c r="Y16" s="10"/>
      <c r="Z16" s="10"/>
      <c r="AA16" s="10"/>
    </row>
    <row r="17" spans="1:27" x14ac:dyDescent="0.2">
      <c r="A17" s="123">
        <f t="shared" si="0"/>
        <v>9</v>
      </c>
      <c r="B17" s="726" t="s">
        <v>45</v>
      </c>
      <c r="C17" s="731">
        <f>Össz.önkor.mérleg.!C25</f>
        <v>0</v>
      </c>
      <c r="D17" s="731">
        <f>Össz.önkor.mérleg.!D25</f>
        <v>5553</v>
      </c>
      <c r="E17" s="731">
        <f>Össz.önkor.mérleg.!E25</f>
        <v>5553</v>
      </c>
      <c r="F17" s="731"/>
      <c r="G17" s="731"/>
      <c r="H17" s="731"/>
      <c r="I17" s="731"/>
      <c r="J17" s="731"/>
      <c r="K17" s="731" t="s">
        <v>462</v>
      </c>
      <c r="L17" s="723">
        <f>Össz.önkor.mérleg.!L30</f>
        <v>0</v>
      </c>
      <c r="M17" s="723">
        <f>Össz.önkor.mérleg.!M30</f>
        <v>3238</v>
      </c>
      <c r="N17" s="723">
        <f>SUM(L17:M17)</f>
        <v>3238</v>
      </c>
      <c r="O17" s="724"/>
      <c r="P17" s="724"/>
      <c r="Q17" s="724"/>
      <c r="R17" s="724"/>
      <c r="S17" s="725"/>
      <c r="T17" s="10"/>
      <c r="U17" s="10"/>
      <c r="V17" s="10"/>
      <c r="W17" s="10"/>
      <c r="X17" s="10"/>
      <c r="Y17" s="10"/>
      <c r="Z17" s="10"/>
      <c r="AA17" s="10"/>
    </row>
    <row r="18" spans="1:27" x14ac:dyDescent="0.2">
      <c r="A18" s="123">
        <f t="shared" si="0"/>
        <v>10</v>
      </c>
      <c r="B18" s="726" t="s">
        <v>46</v>
      </c>
      <c r="C18" s="731">
        <f>Össz.önkor.mérleg.!C21</f>
        <v>0</v>
      </c>
      <c r="D18" s="731">
        <f>Össz.önkor.mérleg.!D26</f>
        <v>0</v>
      </c>
      <c r="E18" s="731">
        <f>Össz.önkor.mérleg.!E26</f>
        <v>0</v>
      </c>
      <c r="F18" s="731"/>
      <c r="G18" s="731"/>
      <c r="H18" s="731"/>
      <c r="I18" s="731"/>
      <c r="J18" s="731"/>
      <c r="K18" s="731" t="s">
        <v>459</v>
      </c>
      <c r="L18" s="723">
        <f>Össz.önkor.mérleg.!L32</f>
        <v>48852</v>
      </c>
      <c r="M18" s="723">
        <f>Össz.önkor.mérleg.!M32</f>
        <v>35520</v>
      </c>
      <c r="N18" s="723">
        <f>Össz.önkor.mérleg.!N32</f>
        <v>84372</v>
      </c>
      <c r="O18" s="724"/>
      <c r="P18" s="724"/>
      <c r="Q18" s="724"/>
      <c r="R18" s="724"/>
      <c r="S18" s="725"/>
      <c r="T18" s="10"/>
      <c r="U18" s="10"/>
      <c r="V18" s="10"/>
      <c r="W18" s="10"/>
      <c r="X18" s="10"/>
      <c r="Y18" s="10"/>
      <c r="Z18" s="10"/>
      <c r="AA18" s="10"/>
    </row>
    <row r="19" spans="1:27" x14ac:dyDescent="0.2">
      <c r="A19" s="123">
        <f t="shared" si="0"/>
        <v>11</v>
      </c>
      <c r="B19" s="726" t="s">
        <v>47</v>
      </c>
      <c r="C19" s="731">
        <f>Össz.önkor.mérleg.!C22</f>
        <v>0</v>
      </c>
      <c r="D19" s="731">
        <f>Össz.önkor.mérleg.!D22</f>
        <v>0</v>
      </c>
      <c r="E19" s="731">
        <f>Össz.önkor.mérleg.!E22</f>
        <v>0</v>
      </c>
      <c r="F19" s="731"/>
      <c r="G19" s="731"/>
      <c r="H19" s="731"/>
      <c r="I19" s="731"/>
      <c r="J19" s="731"/>
      <c r="K19" s="731" t="s">
        <v>455</v>
      </c>
      <c r="L19" s="723">
        <f>Össz.önkor.mérleg.!L33</f>
        <v>238734</v>
      </c>
      <c r="M19" s="723">
        <f>Össz.önkor.mérleg.!M33</f>
        <v>143934</v>
      </c>
      <c r="N19" s="723">
        <f>Össz.önkor.mérleg.!N33</f>
        <v>382668</v>
      </c>
      <c r="O19" s="724"/>
      <c r="P19" s="724"/>
      <c r="Q19" s="724"/>
      <c r="R19" s="724"/>
      <c r="S19" s="725"/>
      <c r="T19" s="10"/>
      <c r="U19" s="10"/>
      <c r="V19" s="10"/>
      <c r="W19" s="10"/>
      <c r="X19" s="10"/>
      <c r="Y19" s="10"/>
      <c r="Z19" s="10"/>
      <c r="AA19" s="10"/>
    </row>
    <row r="20" spans="1:27" x14ac:dyDescent="0.2">
      <c r="A20" s="123">
        <f t="shared" si="0"/>
        <v>12</v>
      </c>
      <c r="B20" s="726"/>
      <c r="C20" s="731"/>
      <c r="D20" s="731"/>
      <c r="E20" s="731"/>
      <c r="F20" s="731"/>
      <c r="G20" s="731"/>
      <c r="H20" s="731"/>
      <c r="I20" s="731"/>
      <c r="J20" s="731"/>
      <c r="K20" s="777" t="s">
        <v>68</v>
      </c>
      <c r="L20" s="778">
        <f>SUM(L14:L19)</f>
        <v>2390428</v>
      </c>
      <c r="M20" s="778">
        <f>SUM(M14:M19)</f>
        <v>345465</v>
      </c>
      <c r="N20" s="778">
        <f>SUM(N14:N19)</f>
        <v>2735893</v>
      </c>
      <c r="O20" s="724"/>
      <c r="P20" s="724"/>
      <c r="Q20" s="724"/>
      <c r="R20" s="724"/>
      <c r="S20" s="725"/>
      <c r="T20" s="10"/>
      <c r="U20" s="10"/>
      <c r="V20" s="10"/>
      <c r="W20" s="10"/>
      <c r="X20" s="10"/>
      <c r="Y20" s="10"/>
      <c r="Z20" s="10"/>
      <c r="AA20" s="10"/>
    </row>
    <row r="21" spans="1:27" x14ac:dyDescent="0.2">
      <c r="A21" s="123">
        <f t="shared" si="0"/>
        <v>13</v>
      </c>
      <c r="B21" s="724" t="s">
        <v>660</v>
      </c>
      <c r="C21" s="731">
        <f>Össz.önkor.mérleg.!C24</f>
        <v>0</v>
      </c>
      <c r="D21" s="731">
        <f>Össz.önkor.mérleg.!D30</f>
        <v>2870</v>
      </c>
      <c r="E21" s="731">
        <f>Össz.önkor.mérleg.!E30</f>
        <v>2870</v>
      </c>
      <c r="F21" s="731"/>
      <c r="G21" s="731"/>
      <c r="H21" s="731"/>
      <c r="I21" s="731"/>
      <c r="J21" s="731"/>
      <c r="K21" s="731"/>
      <c r="L21" s="723"/>
      <c r="M21" s="723"/>
      <c r="N21" s="776"/>
      <c r="O21" s="724"/>
      <c r="P21" s="724"/>
      <c r="Q21" s="724"/>
      <c r="R21" s="724"/>
      <c r="S21" s="725"/>
      <c r="T21" s="10"/>
      <c r="U21" s="10"/>
      <c r="V21" s="10"/>
      <c r="W21" s="10"/>
      <c r="X21" s="10"/>
      <c r="Y21" s="10"/>
      <c r="Z21" s="10"/>
      <c r="AA21" s="10"/>
    </row>
    <row r="22" spans="1:27" s="101" customFormat="1" x14ac:dyDescent="0.2">
      <c r="A22" s="123">
        <f t="shared" si="0"/>
        <v>14</v>
      </c>
      <c r="B22" s="724"/>
      <c r="C22" s="731"/>
      <c r="D22" s="731"/>
      <c r="E22" s="731"/>
      <c r="F22" s="731"/>
      <c r="G22" s="731"/>
      <c r="H22" s="731"/>
      <c r="I22" s="731"/>
      <c r="J22" s="731"/>
      <c r="K22" s="723"/>
      <c r="L22" s="723"/>
      <c r="M22" s="723"/>
      <c r="N22" s="723"/>
      <c r="O22" s="732"/>
      <c r="P22" s="732"/>
      <c r="Q22" s="732"/>
      <c r="R22" s="732"/>
      <c r="S22" s="733"/>
    </row>
    <row r="23" spans="1:27" s="101" customFormat="1" x14ac:dyDescent="0.2">
      <c r="A23" s="123">
        <f t="shared" si="0"/>
        <v>15</v>
      </c>
      <c r="B23" s="738"/>
      <c r="C23" s="776"/>
      <c r="D23" s="776"/>
      <c r="E23" s="776"/>
      <c r="F23" s="776"/>
      <c r="G23" s="776"/>
      <c r="H23" s="776"/>
      <c r="I23" s="776"/>
      <c r="J23" s="776"/>
      <c r="K23" s="723"/>
      <c r="L23" s="723"/>
      <c r="M23" s="723"/>
      <c r="N23" s="723"/>
      <c r="O23" s="732"/>
      <c r="P23" s="732"/>
      <c r="Q23" s="732"/>
      <c r="R23" s="732"/>
      <c r="S23" s="733"/>
    </row>
    <row r="24" spans="1:27" x14ac:dyDescent="0.2">
      <c r="A24" s="123">
        <f t="shared" si="0"/>
        <v>16</v>
      </c>
      <c r="B24" s="779" t="s">
        <v>67</v>
      </c>
      <c r="C24" s="780">
        <f>C12+C13+C16+C17+C18+C19+C21</f>
        <v>8750</v>
      </c>
      <c r="D24" s="780">
        <f t="shared" ref="D24:E24" si="1">D12+D13+D16+D17+D18+D19+D21</f>
        <v>305137</v>
      </c>
      <c r="E24" s="780">
        <f t="shared" si="1"/>
        <v>313887</v>
      </c>
      <c r="F24" s="780"/>
      <c r="G24" s="780"/>
      <c r="H24" s="780"/>
      <c r="I24" s="780"/>
      <c r="J24" s="780"/>
      <c r="K24" s="780"/>
      <c r="L24" s="780"/>
      <c r="M24" s="780"/>
      <c r="N24" s="780"/>
      <c r="O24" s="724"/>
      <c r="P24" s="724"/>
      <c r="Q24" s="724"/>
      <c r="R24" s="724"/>
      <c r="S24" s="725"/>
      <c r="T24" s="10"/>
      <c r="U24" s="10"/>
      <c r="V24" s="10"/>
      <c r="W24" s="10"/>
      <c r="X24" s="10"/>
      <c r="Y24" s="10"/>
      <c r="Z24" s="10"/>
      <c r="AA24" s="10"/>
    </row>
    <row r="25" spans="1:27" x14ac:dyDescent="0.2">
      <c r="A25" s="123">
        <f t="shared" si="0"/>
        <v>17</v>
      </c>
      <c r="B25" s="739" t="s">
        <v>51</v>
      </c>
      <c r="C25" s="721">
        <f>SUM(C23:C24)</f>
        <v>8750</v>
      </c>
      <c r="D25" s="721">
        <f>SUM(D23:D24)</f>
        <v>305137</v>
      </c>
      <c r="E25" s="721">
        <f>SUM(E23:E24)</f>
        <v>313887</v>
      </c>
      <c r="F25" s="721"/>
      <c r="G25" s="721"/>
      <c r="H25" s="721"/>
      <c r="I25" s="721"/>
      <c r="J25" s="721"/>
      <c r="K25" s="721" t="s">
        <v>69</v>
      </c>
      <c r="L25" s="721">
        <f>L24+L20</f>
        <v>2390428</v>
      </c>
      <c r="M25" s="721">
        <f>M24+M20</f>
        <v>345465</v>
      </c>
      <c r="N25" s="721">
        <f>N24+N20</f>
        <v>2735893</v>
      </c>
      <c r="O25" s="724"/>
      <c r="P25" s="724"/>
      <c r="Q25" s="724"/>
      <c r="R25" s="724"/>
      <c r="S25" s="725"/>
      <c r="T25" s="10"/>
      <c r="U25" s="10"/>
      <c r="V25" s="10"/>
      <c r="W25" s="10"/>
      <c r="X25" s="10"/>
      <c r="Y25" s="10"/>
      <c r="Z25" s="10"/>
      <c r="AA25" s="10"/>
    </row>
    <row r="26" spans="1:27" x14ac:dyDescent="0.2">
      <c r="A26" s="123">
        <f t="shared" si="0"/>
        <v>18</v>
      </c>
      <c r="B26" s="724"/>
      <c r="C26" s="723"/>
      <c r="D26" s="723"/>
      <c r="E26" s="723"/>
      <c r="F26" s="723"/>
      <c r="G26" s="723"/>
      <c r="H26" s="723"/>
      <c r="I26" s="723"/>
      <c r="J26" s="723"/>
      <c r="K26" s="723"/>
      <c r="L26" s="723"/>
      <c r="M26" s="723"/>
      <c r="N26" s="723"/>
      <c r="O26" s="724"/>
      <c r="P26" s="724"/>
      <c r="Q26" s="724"/>
      <c r="R26" s="724"/>
      <c r="S26" s="725"/>
      <c r="T26" s="10"/>
      <c r="U26" s="10"/>
      <c r="V26" s="10"/>
      <c r="W26" s="10"/>
      <c r="X26" s="10"/>
      <c r="Y26" s="10"/>
      <c r="Z26" s="10"/>
      <c r="AA26" s="10"/>
    </row>
    <row r="27" spans="1:27" x14ac:dyDescent="0.2">
      <c r="A27" s="123">
        <f t="shared" si="0"/>
        <v>19</v>
      </c>
      <c r="B27" s="739" t="s">
        <v>661</v>
      </c>
      <c r="C27" s="721">
        <f>C25-L25</f>
        <v>-2381678</v>
      </c>
      <c r="D27" s="721">
        <f>D25-M25</f>
        <v>-40328</v>
      </c>
      <c r="E27" s="781">
        <f>E25-N25</f>
        <v>-2422006</v>
      </c>
      <c r="F27" s="781"/>
      <c r="G27" s="781"/>
      <c r="H27" s="781"/>
      <c r="I27" s="781"/>
      <c r="J27" s="781"/>
      <c r="K27" s="723"/>
      <c r="L27" s="723"/>
      <c r="M27" s="723"/>
      <c r="N27" s="723"/>
      <c r="O27" s="724"/>
      <c r="P27" s="724"/>
      <c r="Q27" s="724"/>
      <c r="R27" s="724"/>
      <c r="S27" s="725"/>
      <c r="T27" s="10"/>
      <c r="U27" s="10"/>
      <c r="V27" s="10"/>
      <c r="W27" s="10"/>
      <c r="X27" s="10"/>
      <c r="Y27" s="10"/>
      <c r="Z27" s="10"/>
      <c r="AA27" s="10"/>
    </row>
    <row r="28" spans="1:27" ht="16.5" customHeight="1" x14ac:dyDescent="0.2">
      <c r="A28" s="123">
        <f t="shared" si="0"/>
        <v>20</v>
      </c>
      <c r="B28" s="764"/>
      <c r="C28" s="782"/>
      <c r="D28" s="782"/>
      <c r="E28" s="782"/>
      <c r="F28" s="782"/>
      <c r="G28" s="782"/>
      <c r="H28" s="782"/>
      <c r="I28" s="782"/>
      <c r="J28" s="782"/>
      <c r="K28" s="723"/>
      <c r="L28" s="723"/>
      <c r="M28" s="723"/>
      <c r="N28" s="723"/>
      <c r="O28" s="724"/>
      <c r="P28" s="724"/>
      <c r="Q28" s="724"/>
      <c r="R28" s="724"/>
      <c r="S28" s="725"/>
      <c r="T28" s="10"/>
      <c r="U28" s="10"/>
      <c r="V28" s="10"/>
      <c r="W28" s="10"/>
      <c r="X28" s="10"/>
      <c r="Y28" s="10"/>
      <c r="Z28" s="10"/>
      <c r="AA28" s="10"/>
    </row>
    <row r="29" spans="1:27" s="11" customFormat="1" x14ac:dyDescent="0.2">
      <c r="A29" s="123">
        <f t="shared" si="0"/>
        <v>21</v>
      </c>
      <c r="B29" s="724"/>
      <c r="C29" s="723"/>
      <c r="D29" s="723"/>
      <c r="E29" s="723"/>
      <c r="F29" s="723"/>
      <c r="G29" s="723"/>
      <c r="H29" s="723"/>
      <c r="I29" s="723"/>
      <c r="J29" s="723"/>
      <c r="K29" s="723"/>
      <c r="L29" s="723"/>
      <c r="M29" s="723"/>
      <c r="N29" s="723"/>
      <c r="O29" s="739"/>
      <c r="P29" s="739"/>
      <c r="Q29" s="739"/>
      <c r="R29" s="739"/>
      <c r="S29" s="740"/>
    </row>
    <row r="30" spans="1:27" s="11" customFormat="1" x14ac:dyDescent="0.2">
      <c r="A30" s="123">
        <f t="shared" si="0"/>
        <v>22</v>
      </c>
      <c r="B30" s="722" t="s">
        <v>53</v>
      </c>
      <c r="C30" s="722"/>
      <c r="D30" s="722"/>
      <c r="E30" s="722"/>
      <c r="F30" s="722"/>
      <c r="G30" s="722"/>
      <c r="H30" s="722"/>
      <c r="I30" s="722"/>
      <c r="J30" s="722"/>
      <c r="K30" s="722" t="s">
        <v>33</v>
      </c>
      <c r="L30" s="721"/>
      <c r="M30" s="721"/>
      <c r="N30" s="721"/>
      <c r="O30" s="739"/>
      <c r="P30" s="739"/>
      <c r="Q30" s="739"/>
      <c r="R30" s="739"/>
      <c r="S30" s="740"/>
    </row>
    <row r="31" spans="1:27" s="11" customFormat="1" x14ac:dyDescent="0.2">
      <c r="A31" s="123">
        <f t="shared" si="0"/>
        <v>23</v>
      </c>
      <c r="B31" s="742" t="s">
        <v>710</v>
      </c>
      <c r="C31" s="722"/>
      <c r="D31" s="722"/>
      <c r="E31" s="722"/>
      <c r="F31" s="722"/>
      <c r="G31" s="722"/>
      <c r="H31" s="722"/>
      <c r="I31" s="722"/>
      <c r="J31" s="722"/>
      <c r="K31" s="742" t="s">
        <v>4</v>
      </c>
      <c r="L31" s="721"/>
      <c r="M31" s="739"/>
      <c r="N31" s="739"/>
      <c r="O31" s="739"/>
      <c r="P31" s="739"/>
      <c r="Q31" s="739"/>
      <c r="R31" s="739"/>
      <c r="S31" s="740"/>
    </row>
    <row r="32" spans="1:27" s="11" customFormat="1" x14ac:dyDescent="0.2">
      <c r="A32" s="123">
        <f t="shared" si="0"/>
        <v>24</v>
      </c>
      <c r="B32" s="724" t="s">
        <v>1057</v>
      </c>
      <c r="C32" s="731">
        <f>Össz.önkor.mérleg.!C41</f>
        <v>1243160</v>
      </c>
      <c r="D32" s="731">
        <f>Össz.önkor.mérleg.!D41</f>
        <v>0</v>
      </c>
      <c r="E32" s="731">
        <f>Össz.önkor.mérleg.!E41</f>
        <v>1243160</v>
      </c>
      <c r="F32" s="731"/>
      <c r="G32" s="731"/>
      <c r="H32" s="731"/>
      <c r="I32" s="731"/>
      <c r="J32" s="731"/>
      <c r="K32" s="724" t="s">
        <v>3</v>
      </c>
      <c r="L32" s="721"/>
      <c r="M32" s="721"/>
      <c r="N32" s="721"/>
      <c r="O32" s="739"/>
      <c r="P32" s="739"/>
      <c r="Q32" s="739"/>
      <c r="R32" s="739"/>
      <c r="S32" s="740"/>
    </row>
    <row r="33" spans="1:27" x14ac:dyDescent="0.2">
      <c r="A33" s="123">
        <f t="shared" si="0"/>
        <v>25</v>
      </c>
      <c r="B33" s="731" t="s">
        <v>712</v>
      </c>
      <c r="C33" s="783"/>
      <c r="D33" s="742"/>
      <c r="E33" s="742">
        <f>SUM(C33:D33)</f>
        <v>0</v>
      </c>
      <c r="F33" s="742"/>
      <c r="G33" s="742"/>
      <c r="H33" s="742"/>
      <c r="I33" s="742"/>
      <c r="J33" s="742"/>
      <c r="K33" s="731" t="s">
        <v>5</v>
      </c>
      <c r="L33" s="721"/>
      <c r="M33" s="721"/>
      <c r="N33" s="721"/>
      <c r="O33" s="724"/>
      <c r="P33" s="724"/>
      <c r="Q33" s="724"/>
      <c r="R33" s="724"/>
      <c r="S33" s="725"/>
      <c r="T33" s="10"/>
      <c r="U33" s="10"/>
      <c r="V33" s="10"/>
      <c r="W33" s="10"/>
      <c r="X33" s="10"/>
      <c r="Y33" s="10"/>
      <c r="Z33" s="10"/>
      <c r="AA33" s="10"/>
    </row>
    <row r="34" spans="1:27" x14ac:dyDescent="0.2">
      <c r="A34" s="123">
        <f t="shared" si="0"/>
        <v>26</v>
      </c>
      <c r="B34" s="731" t="s">
        <v>711</v>
      </c>
      <c r="C34" s="731"/>
      <c r="D34" s="731"/>
      <c r="E34" s="731"/>
      <c r="F34" s="731"/>
      <c r="G34" s="731"/>
      <c r="H34" s="731"/>
      <c r="I34" s="731"/>
      <c r="J34" s="731"/>
      <c r="K34" s="731" t="s">
        <v>6</v>
      </c>
      <c r="L34" s="721"/>
      <c r="M34" s="721"/>
      <c r="N34" s="721"/>
      <c r="O34" s="724"/>
      <c r="P34" s="724"/>
      <c r="Q34" s="724"/>
      <c r="R34" s="724"/>
      <c r="S34" s="725"/>
      <c r="T34" s="10"/>
      <c r="U34" s="10"/>
      <c r="V34" s="10"/>
      <c r="W34" s="10"/>
      <c r="X34" s="10"/>
      <c r="Y34" s="10"/>
      <c r="Z34" s="10"/>
      <c r="AA34" s="10"/>
    </row>
    <row r="35" spans="1:27" x14ac:dyDescent="0.2">
      <c r="A35" s="123">
        <f t="shared" si="0"/>
        <v>27</v>
      </c>
      <c r="B35" s="731" t="s">
        <v>1131</v>
      </c>
      <c r="C35" s="727">
        <f>-(C27+C32)</f>
        <v>1138518</v>
      </c>
      <c r="D35" s="727">
        <f t="shared" ref="D35:E35" si="2">-(D27+D32)</f>
        <v>40328</v>
      </c>
      <c r="E35" s="727">
        <f t="shared" si="2"/>
        <v>1178846</v>
      </c>
      <c r="F35" s="727"/>
      <c r="G35" s="727"/>
      <c r="H35" s="727"/>
      <c r="I35" s="727"/>
      <c r="J35" s="727"/>
      <c r="K35" s="731" t="s">
        <v>7</v>
      </c>
      <c r="L35" s="721"/>
      <c r="M35" s="721"/>
      <c r="N35" s="721"/>
      <c r="O35" s="724"/>
      <c r="P35" s="724"/>
      <c r="Q35" s="724"/>
      <c r="R35" s="724"/>
      <c r="S35" s="725"/>
      <c r="T35" s="10"/>
      <c r="U35" s="10"/>
      <c r="V35" s="10"/>
      <c r="W35" s="10"/>
      <c r="X35" s="10"/>
      <c r="Y35" s="10"/>
      <c r="Z35" s="10"/>
      <c r="AA35" s="10"/>
    </row>
    <row r="36" spans="1:27" x14ac:dyDescent="0.2">
      <c r="A36" s="123">
        <f t="shared" si="0"/>
        <v>28</v>
      </c>
      <c r="B36" s="731" t="s">
        <v>713</v>
      </c>
      <c r="C36" s="722"/>
      <c r="D36" s="722"/>
      <c r="E36" s="722"/>
      <c r="F36" s="722"/>
      <c r="G36" s="722"/>
      <c r="H36" s="722"/>
      <c r="I36" s="722"/>
      <c r="J36" s="722"/>
      <c r="K36" s="731" t="s">
        <v>9</v>
      </c>
      <c r="L36" s="721"/>
      <c r="M36" s="721"/>
      <c r="N36" s="723"/>
      <c r="O36" s="724"/>
      <c r="P36" s="724"/>
      <c r="Q36" s="724"/>
      <c r="R36" s="724"/>
      <c r="S36" s="725"/>
      <c r="T36" s="10"/>
      <c r="U36" s="10"/>
      <c r="V36" s="10"/>
      <c r="W36" s="10"/>
      <c r="X36" s="10"/>
      <c r="Y36" s="10"/>
      <c r="Z36" s="10"/>
      <c r="AA36" s="10"/>
    </row>
    <row r="37" spans="1:27" x14ac:dyDescent="0.2">
      <c r="A37" s="123">
        <f t="shared" si="0"/>
        <v>29</v>
      </c>
      <c r="B37" s="731" t="s">
        <v>714</v>
      </c>
      <c r="C37" s="731"/>
      <c r="D37" s="731"/>
      <c r="E37" s="731"/>
      <c r="F37" s="731"/>
      <c r="G37" s="731"/>
      <c r="H37" s="731"/>
      <c r="I37" s="731"/>
      <c r="J37" s="731"/>
      <c r="K37" s="731" t="s">
        <v>10</v>
      </c>
      <c r="L37" s="723"/>
      <c r="M37" s="723"/>
      <c r="N37" s="723"/>
      <c r="O37" s="724"/>
      <c r="P37" s="724"/>
      <c r="Q37" s="724"/>
      <c r="R37" s="724"/>
      <c r="S37" s="725"/>
      <c r="T37" s="10"/>
      <c r="U37" s="10"/>
      <c r="V37" s="10"/>
      <c r="W37" s="10"/>
      <c r="X37" s="10"/>
      <c r="Y37" s="10"/>
      <c r="Z37" s="10"/>
      <c r="AA37" s="10"/>
    </row>
    <row r="38" spans="1:27" x14ac:dyDescent="0.2">
      <c r="A38" s="123">
        <f t="shared" si="0"/>
        <v>30</v>
      </c>
      <c r="B38" s="731" t="s">
        <v>715</v>
      </c>
      <c r="C38" s="731"/>
      <c r="D38" s="731"/>
      <c r="E38" s="731"/>
      <c r="F38" s="731"/>
      <c r="G38" s="731"/>
      <c r="H38" s="731"/>
      <c r="I38" s="731"/>
      <c r="J38" s="731"/>
      <c r="K38" s="731" t="s">
        <v>11</v>
      </c>
      <c r="L38" s="723"/>
      <c r="M38" s="723"/>
      <c r="N38" s="723"/>
      <c r="O38" s="724"/>
      <c r="P38" s="724"/>
      <c r="Q38" s="724"/>
      <c r="R38" s="724"/>
      <c r="S38" s="725"/>
      <c r="T38" s="10"/>
      <c r="U38" s="10"/>
      <c r="V38" s="10"/>
      <c r="W38" s="10"/>
      <c r="X38" s="10"/>
      <c r="Y38" s="10"/>
      <c r="Z38" s="10"/>
      <c r="AA38" s="10"/>
    </row>
    <row r="39" spans="1:27" x14ac:dyDescent="0.2">
      <c r="A39" s="123">
        <f t="shared" si="0"/>
        <v>31</v>
      </c>
      <c r="B39" s="731" t="s">
        <v>716</v>
      </c>
      <c r="C39" s="731"/>
      <c r="D39" s="731"/>
      <c r="E39" s="731"/>
      <c r="F39" s="731"/>
      <c r="G39" s="731"/>
      <c r="H39" s="731"/>
      <c r="I39" s="731"/>
      <c r="J39" s="731"/>
      <c r="K39" s="731" t="s">
        <v>12</v>
      </c>
      <c r="L39" s="723"/>
      <c r="M39" s="723"/>
      <c r="N39" s="723"/>
      <c r="O39" s="724"/>
      <c r="P39" s="724"/>
      <c r="Q39" s="724"/>
      <c r="R39" s="724"/>
      <c r="S39" s="725"/>
      <c r="T39" s="10"/>
      <c r="U39" s="10"/>
      <c r="V39" s="10"/>
      <c r="W39" s="10"/>
      <c r="X39" s="10"/>
      <c r="Y39" s="10"/>
      <c r="Z39" s="10"/>
      <c r="AA39" s="10"/>
    </row>
    <row r="40" spans="1:27" x14ac:dyDescent="0.2">
      <c r="A40" s="123">
        <f t="shared" si="0"/>
        <v>32</v>
      </c>
      <c r="B40" s="731" t="s">
        <v>0</v>
      </c>
      <c r="C40" s="731"/>
      <c r="D40" s="731"/>
      <c r="E40" s="731"/>
      <c r="F40" s="731"/>
      <c r="G40" s="731"/>
      <c r="H40" s="731"/>
      <c r="I40" s="731"/>
      <c r="J40" s="731"/>
      <c r="K40" s="731" t="s">
        <v>13</v>
      </c>
      <c r="L40" s="723"/>
      <c r="M40" s="723"/>
      <c r="N40" s="723"/>
      <c r="O40" s="724"/>
      <c r="P40" s="724"/>
      <c r="Q40" s="724"/>
      <c r="R40" s="724"/>
      <c r="S40" s="725"/>
      <c r="T40" s="10"/>
      <c r="U40" s="10"/>
      <c r="V40" s="10"/>
      <c r="W40" s="10"/>
      <c r="X40" s="10"/>
      <c r="Y40" s="10"/>
      <c r="Z40" s="10"/>
      <c r="AA40" s="10"/>
    </row>
    <row r="41" spans="1:27" x14ac:dyDescent="0.2">
      <c r="A41" s="123">
        <f t="shared" si="0"/>
        <v>33</v>
      </c>
      <c r="B41" s="731" t="s">
        <v>1</v>
      </c>
      <c r="C41" s="731"/>
      <c r="D41" s="731"/>
      <c r="E41" s="731"/>
      <c r="F41" s="731"/>
      <c r="G41" s="731"/>
      <c r="H41" s="731"/>
      <c r="I41" s="731"/>
      <c r="J41" s="731"/>
      <c r="K41" s="731" t="s">
        <v>14</v>
      </c>
      <c r="L41" s="723"/>
      <c r="M41" s="723"/>
      <c r="N41" s="723"/>
      <c r="O41" s="724"/>
      <c r="P41" s="724"/>
      <c r="Q41" s="724"/>
      <c r="R41" s="724"/>
      <c r="S41" s="725"/>
      <c r="T41" s="10"/>
      <c r="U41" s="10"/>
      <c r="V41" s="10"/>
      <c r="W41" s="10"/>
      <c r="X41" s="10"/>
      <c r="Y41" s="10"/>
      <c r="Z41" s="10"/>
      <c r="AA41" s="10"/>
    </row>
    <row r="42" spans="1:27" x14ac:dyDescent="0.2">
      <c r="A42" s="123">
        <f t="shared" si="0"/>
        <v>34</v>
      </c>
      <c r="B42" s="731" t="s">
        <v>2</v>
      </c>
      <c r="C42" s="731"/>
      <c r="D42" s="731"/>
      <c r="E42" s="731"/>
      <c r="F42" s="731"/>
      <c r="G42" s="731"/>
      <c r="H42" s="731"/>
      <c r="I42" s="731"/>
      <c r="J42" s="731"/>
      <c r="K42" s="731" t="s">
        <v>15</v>
      </c>
      <c r="L42" s="723"/>
      <c r="M42" s="723"/>
      <c r="N42" s="723"/>
      <c r="O42" s="724"/>
      <c r="P42" s="724"/>
      <c r="Q42" s="724"/>
      <c r="R42" s="724"/>
      <c r="S42" s="725"/>
      <c r="T42" s="10"/>
      <c r="U42" s="10"/>
      <c r="V42" s="10"/>
      <c r="W42" s="10"/>
      <c r="X42" s="10"/>
      <c r="Y42" s="10"/>
      <c r="Z42" s="10"/>
      <c r="AA42" s="10"/>
    </row>
    <row r="43" spans="1:27" ht="12" thickBot="1" x14ac:dyDescent="0.25">
      <c r="A43" s="123">
        <f t="shared" si="0"/>
        <v>35</v>
      </c>
      <c r="B43" s="747" t="s">
        <v>463</v>
      </c>
      <c r="C43" s="784">
        <f>SUM(C31:C41)</f>
        <v>2381678</v>
      </c>
      <c r="D43" s="784">
        <f>SUM(D31:D41)</f>
        <v>40328</v>
      </c>
      <c r="E43" s="784">
        <f>SUM(E31:E41)</f>
        <v>2422006</v>
      </c>
      <c r="F43" s="784"/>
      <c r="G43" s="784"/>
      <c r="H43" s="784"/>
      <c r="I43" s="784"/>
      <c r="J43" s="784"/>
      <c r="K43" s="784" t="s">
        <v>456</v>
      </c>
      <c r="L43" s="785">
        <f>SUM(L31:L42)</f>
        <v>0</v>
      </c>
      <c r="M43" s="785">
        <f>SUM(M31:M42)</f>
        <v>0</v>
      </c>
      <c r="N43" s="785">
        <f>SUM(N31:N42)</f>
        <v>0</v>
      </c>
      <c r="O43" s="750"/>
      <c r="P43" s="750"/>
      <c r="Q43" s="750"/>
      <c r="R43" s="750"/>
      <c r="S43" s="751"/>
      <c r="T43" s="10"/>
      <c r="U43" s="10"/>
      <c r="V43" s="10"/>
      <c r="W43" s="10"/>
      <c r="X43" s="10"/>
      <c r="Y43" s="10"/>
      <c r="Z43" s="10"/>
      <c r="AA43" s="10"/>
    </row>
    <row r="44" spans="1:27" ht="12" thickBot="1" x14ac:dyDescent="0.25">
      <c r="A44" s="610">
        <f t="shared" si="0"/>
        <v>36</v>
      </c>
      <c r="B44" s="709" t="s">
        <v>458</v>
      </c>
      <c r="C44" s="700">
        <f>C25+C28+C43</f>
        <v>2390428</v>
      </c>
      <c r="D44" s="700">
        <f>D25+D28+D43</f>
        <v>345465</v>
      </c>
      <c r="E44" s="700">
        <f>E25+E28+E43</f>
        <v>2735893</v>
      </c>
      <c r="F44" s="700"/>
      <c r="G44" s="700"/>
      <c r="H44" s="700"/>
      <c r="I44" s="700"/>
      <c r="J44" s="700"/>
      <c r="K44" s="709" t="s">
        <v>457</v>
      </c>
      <c r="L44" s="700">
        <f>L25+L43</f>
        <v>2390428</v>
      </c>
      <c r="M44" s="700">
        <f>M25+M43</f>
        <v>345465</v>
      </c>
      <c r="N44" s="786">
        <f>N25+N43</f>
        <v>2735893</v>
      </c>
      <c r="O44" s="753"/>
      <c r="P44" s="753"/>
      <c r="Q44" s="753"/>
      <c r="R44" s="753"/>
      <c r="S44" s="754"/>
      <c r="T44" s="10"/>
      <c r="U44" s="10"/>
      <c r="V44" s="10"/>
      <c r="W44" s="10"/>
      <c r="X44" s="10"/>
      <c r="Y44" s="10"/>
      <c r="Z44" s="10"/>
      <c r="AA44" s="10"/>
    </row>
    <row r="45" spans="1:27" x14ac:dyDescent="0.2">
      <c r="B45" s="131"/>
      <c r="C45" s="130"/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S45" s="10"/>
      <c r="T45" s="10"/>
      <c r="U45" s="10"/>
      <c r="V45" s="10"/>
      <c r="W45" s="10"/>
      <c r="X45" s="10"/>
      <c r="Y45" s="10"/>
      <c r="Z45" s="10"/>
      <c r="AA45" s="10"/>
    </row>
    <row r="46" spans="1:27" x14ac:dyDescent="0.2">
      <c r="Y46" s="10"/>
      <c r="Z46" s="10"/>
      <c r="AA46" s="10"/>
    </row>
    <row r="49" spans="4:4" x14ac:dyDescent="0.2">
      <c r="D49" s="125"/>
    </row>
  </sheetData>
  <sheetProtection selectLockedCells="1" selectUnlockedCells="1"/>
  <mergeCells count="14">
    <mergeCell ref="O7:P7"/>
    <mergeCell ref="Q7:S7"/>
    <mergeCell ref="L6:S6"/>
    <mergeCell ref="A1:N1"/>
    <mergeCell ref="C6:E6"/>
    <mergeCell ref="C7:E7"/>
    <mergeCell ref="L7:N7"/>
    <mergeCell ref="B3:N3"/>
    <mergeCell ref="A5:N5"/>
    <mergeCell ref="B4:N4"/>
    <mergeCell ref="A6:A8"/>
    <mergeCell ref="B6:B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79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D23"/>
  <sheetViews>
    <sheetView workbookViewId="0">
      <selection activeCell="B2" sqref="B2:C2"/>
    </sheetView>
  </sheetViews>
  <sheetFormatPr defaultColWidth="9.140625" defaultRowHeight="20.100000000000001" customHeight="1" x14ac:dyDescent="0.25"/>
  <cols>
    <col min="1" max="1" width="5.5703125" style="268" customWidth="1"/>
    <col min="2" max="2" width="71.7109375" style="268" customWidth="1"/>
    <col min="3" max="3" width="13.5703125" style="268" customWidth="1"/>
    <col min="4" max="4" width="9.140625" style="256"/>
    <col min="5" max="16384" width="9.140625" style="257"/>
  </cols>
  <sheetData>
    <row r="2" spans="1:4" ht="20.100000000000001" customHeight="1" x14ac:dyDescent="0.25">
      <c r="A2" s="257"/>
      <c r="B2" s="1474" t="s">
        <v>1198</v>
      </c>
      <c r="C2" s="1474"/>
    </row>
    <row r="3" spans="1:4" ht="20.100000000000001" customHeight="1" x14ac:dyDescent="0.25">
      <c r="A3" s="257"/>
      <c r="B3" s="337"/>
      <c r="C3" s="337"/>
    </row>
    <row r="4" spans="1:4" ht="20.100000000000001" customHeight="1" x14ac:dyDescent="0.25">
      <c r="A4" s="257"/>
      <c r="B4" s="1476" t="s">
        <v>78</v>
      </c>
      <c r="C4" s="1476"/>
    </row>
    <row r="5" spans="1:4" ht="20.100000000000001" customHeight="1" x14ac:dyDescent="0.25">
      <c r="A5" s="257"/>
      <c r="B5" s="1476" t="s">
        <v>1103</v>
      </c>
      <c r="C5" s="1476"/>
    </row>
    <row r="6" spans="1:4" ht="20.100000000000001" customHeight="1" x14ac:dyDescent="0.25">
      <c r="A6" s="257"/>
      <c r="B6" s="1476" t="s">
        <v>429</v>
      </c>
      <c r="C6" s="1476"/>
    </row>
    <row r="7" spans="1:4" s="259" customFormat="1" ht="20.100000000000001" customHeight="1" x14ac:dyDescent="0.25">
      <c r="B7" s="1476"/>
      <c r="C7" s="1476"/>
      <c r="D7" s="258"/>
    </row>
    <row r="8" spans="1:4" s="259" customFormat="1" ht="20.100000000000001" customHeight="1" x14ac:dyDescent="0.25">
      <c r="B8" s="338"/>
      <c r="C8" s="338"/>
      <c r="D8" s="258"/>
    </row>
    <row r="9" spans="1:4" s="261" customFormat="1" ht="20.100000000000001" customHeight="1" x14ac:dyDescent="0.25">
      <c r="B9" s="339"/>
      <c r="C9" s="340" t="s">
        <v>326</v>
      </c>
      <c r="D9" s="260"/>
    </row>
    <row r="10" spans="1:4" ht="20.100000000000001" customHeight="1" x14ac:dyDescent="0.25">
      <c r="A10" s="1475"/>
      <c r="B10" s="341" t="s">
        <v>57</v>
      </c>
      <c r="C10" s="341" t="s">
        <v>58</v>
      </c>
    </row>
    <row r="11" spans="1:4" s="261" customFormat="1" ht="30.75" customHeight="1" x14ac:dyDescent="0.25">
      <c r="A11" s="1475"/>
      <c r="B11" s="342" t="s">
        <v>86</v>
      </c>
      <c r="C11" s="342" t="s">
        <v>430</v>
      </c>
      <c r="D11" s="260"/>
    </row>
    <row r="12" spans="1:4" ht="22.5" customHeight="1" x14ac:dyDescent="0.25">
      <c r="A12" s="343"/>
      <c r="B12" s="257"/>
      <c r="C12" s="257"/>
    </row>
    <row r="13" spans="1:4" ht="51" customHeight="1" x14ac:dyDescent="0.25">
      <c r="A13" s="344" t="s">
        <v>494</v>
      </c>
      <c r="B13" s="345" t="s">
        <v>1169</v>
      </c>
      <c r="C13" s="545">
        <v>169769</v>
      </c>
    </row>
    <row r="14" spans="1:4" ht="20.100000000000001" customHeight="1" x14ac:dyDescent="0.25">
      <c r="A14" s="343"/>
      <c r="B14" s="257"/>
      <c r="C14" s="546"/>
    </row>
    <row r="15" spans="1:4" ht="35.25" customHeight="1" x14ac:dyDescent="0.25">
      <c r="A15" s="344" t="s">
        <v>502</v>
      </c>
      <c r="B15" s="346" t="s">
        <v>1192</v>
      </c>
      <c r="C15" s="545">
        <v>1467</v>
      </c>
    </row>
    <row r="16" spans="1:4" ht="20.100000000000001" customHeight="1" x14ac:dyDescent="0.25">
      <c r="A16" s="343"/>
      <c r="B16" s="257"/>
      <c r="C16" s="546"/>
    </row>
    <row r="17" spans="1:4" ht="36" customHeight="1" x14ac:dyDescent="0.25">
      <c r="A17" s="344" t="s">
        <v>503</v>
      </c>
      <c r="B17" s="347" t="s">
        <v>431</v>
      </c>
      <c r="C17" s="547">
        <v>547</v>
      </c>
    </row>
    <row r="18" spans="1:4" ht="20.100000000000001" customHeight="1" x14ac:dyDescent="0.25">
      <c r="A18" s="343"/>
      <c r="B18" s="348"/>
      <c r="C18" s="546"/>
    </row>
    <row r="19" spans="1:4" s="259" customFormat="1" ht="20.100000000000001" customHeight="1" x14ac:dyDescent="0.25">
      <c r="A19" s="343" t="s">
        <v>504</v>
      </c>
      <c r="B19" s="259" t="s">
        <v>432</v>
      </c>
      <c r="C19" s="548">
        <f>SUM(C13:C18)</f>
        <v>171783</v>
      </c>
      <c r="D19" s="258"/>
    </row>
    <row r="20" spans="1:4" ht="20.100000000000001" customHeight="1" x14ac:dyDescent="0.25">
      <c r="A20" s="257"/>
      <c r="B20" s="257"/>
      <c r="C20" s="546"/>
    </row>
    <row r="21" spans="1:4" ht="20.100000000000001" customHeight="1" x14ac:dyDescent="0.25">
      <c r="C21" s="269"/>
    </row>
    <row r="22" spans="1:4" ht="20.100000000000001" customHeight="1" x14ac:dyDescent="0.25">
      <c r="C22" s="269"/>
    </row>
    <row r="23" spans="1:4" ht="20.100000000000001" customHeight="1" x14ac:dyDescent="0.25">
      <c r="C23" s="269"/>
    </row>
  </sheetData>
  <mergeCells count="6">
    <mergeCell ref="B2:C2"/>
    <mergeCell ref="A10:A11"/>
    <mergeCell ref="B4:C4"/>
    <mergeCell ref="B5:C5"/>
    <mergeCell ref="B6:C6"/>
    <mergeCell ref="B7:C7"/>
  </mergeCells>
  <phoneticPr fontId="94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15"/>
  <sheetViews>
    <sheetView zoomScaleNormal="100" workbookViewId="0">
      <selection activeCell="N28" sqref="N28"/>
    </sheetView>
  </sheetViews>
  <sheetFormatPr defaultColWidth="10.28515625" defaultRowHeight="12.75" x14ac:dyDescent="0.2"/>
  <cols>
    <col min="1" max="1" width="3.140625" style="262" customWidth="1"/>
    <col min="2" max="2" width="29.28515625" style="262" customWidth="1"/>
    <col min="3" max="3" width="16.85546875" style="262" bestFit="1" customWidth="1"/>
    <col min="4" max="4" width="15.5703125" style="262" customWidth="1"/>
    <col min="5" max="5" width="9.85546875" style="262" bestFit="1" customWidth="1"/>
    <col min="6" max="6" width="12.85546875" style="262" customWidth="1"/>
    <col min="7" max="8" width="14.5703125" style="262" customWidth="1"/>
    <col min="9" max="9" width="10.7109375" style="262" customWidth="1"/>
    <col min="10" max="10" width="10.5703125" style="262" customWidth="1"/>
    <col min="11" max="11" width="10.28515625" style="262" customWidth="1"/>
    <col min="12" max="12" width="10.28515625" style="262"/>
    <col min="13" max="16384" width="10.28515625" style="267"/>
  </cols>
  <sheetData>
    <row r="1" spans="1:12" s="262" customFormat="1" x14ac:dyDescent="0.2">
      <c r="A1" s="1477" t="s">
        <v>1199</v>
      </c>
      <c r="B1" s="1477"/>
      <c r="C1" s="1477"/>
      <c r="D1" s="1477"/>
      <c r="E1" s="1477"/>
      <c r="F1" s="1477"/>
      <c r="G1" s="1477"/>
      <c r="H1" s="1477"/>
      <c r="I1" s="1477"/>
      <c r="J1" s="1477"/>
    </row>
    <row r="2" spans="1:12" s="262" customFormat="1" ht="14.1" customHeight="1" x14ac:dyDescent="0.2"/>
    <row r="3" spans="1:12" s="262" customFormat="1" ht="15" customHeight="1" x14ac:dyDescent="0.25">
      <c r="B3" s="1479" t="s">
        <v>78</v>
      </c>
      <c r="C3" s="1479"/>
      <c r="D3" s="1479"/>
      <c r="E3" s="1479"/>
      <c r="F3" s="1479"/>
      <c r="G3" s="1479"/>
      <c r="H3" s="1479"/>
      <c r="I3" s="1479"/>
      <c r="J3" s="1479"/>
    </row>
    <row r="4" spans="1:12" s="262" customFormat="1" ht="15" customHeight="1" x14ac:dyDescent="0.25">
      <c r="B4" s="1479" t="s">
        <v>1103</v>
      </c>
      <c r="C4" s="1479"/>
      <c r="D4" s="1479"/>
      <c r="E4" s="1479"/>
      <c r="F4" s="1479"/>
      <c r="G4" s="1479"/>
      <c r="H4" s="1479"/>
      <c r="I4" s="1479"/>
      <c r="J4" s="1479"/>
    </row>
    <row r="5" spans="1:12" s="262" customFormat="1" ht="15" customHeight="1" x14ac:dyDescent="0.25">
      <c r="B5" s="1479" t="s">
        <v>433</v>
      </c>
      <c r="C5" s="1479"/>
      <c r="D5" s="1479"/>
      <c r="E5" s="1479"/>
      <c r="F5" s="1479"/>
      <c r="G5" s="1479"/>
      <c r="H5" s="1479"/>
      <c r="I5" s="1479"/>
      <c r="J5" s="1479"/>
    </row>
    <row r="6" spans="1:12" s="262" customFormat="1" ht="15" customHeight="1" x14ac:dyDescent="0.25">
      <c r="B6" s="1479"/>
      <c r="C6" s="1479"/>
      <c r="D6" s="1479"/>
      <c r="E6" s="1479"/>
      <c r="F6" s="1479"/>
      <c r="G6" s="1479"/>
      <c r="H6" s="1479"/>
      <c r="I6" s="1479"/>
      <c r="J6" s="1479"/>
    </row>
    <row r="7" spans="1:12" s="262" customFormat="1" ht="15" customHeight="1" x14ac:dyDescent="0.25">
      <c r="B7" s="1487" t="s">
        <v>326</v>
      </c>
      <c r="C7" s="1487"/>
      <c r="D7" s="1487"/>
      <c r="E7" s="1487"/>
      <c r="F7" s="1487"/>
      <c r="G7" s="1487"/>
      <c r="H7" s="1487"/>
      <c r="I7" s="1487"/>
      <c r="J7" s="1487"/>
    </row>
    <row r="8" spans="1:12" s="263" customFormat="1" ht="14.1" customHeight="1" x14ac:dyDescent="0.25">
      <c r="A8" s="1478"/>
      <c r="B8" s="647" t="s">
        <v>57</v>
      </c>
      <c r="C8" s="647" t="s">
        <v>58</v>
      </c>
      <c r="D8" s="647" t="s">
        <v>59</v>
      </c>
      <c r="E8" s="647" t="s">
        <v>60</v>
      </c>
      <c r="F8" s="647" t="s">
        <v>485</v>
      </c>
      <c r="G8" s="647" t="s">
        <v>486</v>
      </c>
      <c r="H8" s="647" t="s">
        <v>487</v>
      </c>
      <c r="I8" s="647" t="s">
        <v>615</v>
      </c>
      <c r="J8" s="647" t="s">
        <v>626</v>
      </c>
    </row>
    <row r="9" spans="1:12" s="264" customFormat="1" ht="17.25" customHeight="1" x14ac:dyDescent="0.25">
      <c r="A9" s="1478"/>
      <c r="B9" s="1481" t="s">
        <v>86</v>
      </c>
      <c r="C9" s="1483" t="s">
        <v>434</v>
      </c>
      <c r="D9" s="1483" t="s">
        <v>1170</v>
      </c>
      <c r="E9" s="1481" t="s">
        <v>435</v>
      </c>
      <c r="F9" s="1485" t="s">
        <v>436</v>
      </c>
      <c r="G9" s="1481" t="s">
        <v>437</v>
      </c>
      <c r="H9" s="1483" t="s">
        <v>952</v>
      </c>
      <c r="I9" s="1480" t="s">
        <v>438</v>
      </c>
      <c r="J9" s="1480"/>
    </row>
    <row r="10" spans="1:12" s="264" customFormat="1" ht="30" customHeight="1" x14ac:dyDescent="0.25">
      <c r="A10" s="1478"/>
      <c r="B10" s="1482"/>
      <c r="C10" s="1484"/>
      <c r="D10" s="1484"/>
      <c r="E10" s="1482"/>
      <c r="F10" s="1486"/>
      <c r="G10" s="1482"/>
      <c r="H10" s="1484"/>
      <c r="I10" s="647" t="s">
        <v>439</v>
      </c>
      <c r="J10" s="647" t="s">
        <v>440</v>
      </c>
    </row>
    <row r="11" spans="1:12" s="263" customFormat="1" ht="16.5" customHeight="1" x14ac:dyDescent="0.25">
      <c r="A11" s="265" t="s">
        <v>494</v>
      </c>
      <c r="B11" s="270" t="s">
        <v>441</v>
      </c>
    </row>
    <row r="12" spans="1:12" s="263" customFormat="1" ht="15" customHeight="1" x14ac:dyDescent="0.25">
      <c r="A12" s="265" t="s">
        <v>502</v>
      </c>
      <c r="B12" s="263" t="s">
        <v>442</v>
      </c>
      <c r="C12" s="271"/>
      <c r="D12" s="271"/>
      <c r="E12" s="272"/>
      <c r="F12" s="272"/>
      <c r="G12" s="272"/>
      <c r="H12" s="271"/>
      <c r="I12" s="272"/>
      <c r="J12" s="272"/>
    </row>
    <row r="13" spans="1:12" s="263" customFormat="1" ht="15" customHeight="1" x14ac:dyDescent="0.25">
      <c r="A13" s="265" t="s">
        <v>503</v>
      </c>
      <c r="B13" s="273" t="s">
        <v>443</v>
      </c>
      <c r="C13" s="274">
        <v>500</v>
      </c>
      <c r="D13" s="275">
        <v>75</v>
      </c>
      <c r="E13" s="276" t="s">
        <v>444</v>
      </c>
      <c r="F13" s="276" t="s">
        <v>445</v>
      </c>
      <c r="G13" s="276" t="s">
        <v>445</v>
      </c>
      <c r="H13" s="275">
        <v>50</v>
      </c>
      <c r="I13" s="277">
        <v>0</v>
      </c>
      <c r="J13" s="276" t="s">
        <v>446</v>
      </c>
    </row>
    <row r="14" spans="1:12" s="264" customFormat="1" ht="15" customHeight="1" x14ac:dyDescent="0.25">
      <c r="A14" s="265" t="s">
        <v>504</v>
      </c>
      <c r="B14" s="273" t="s">
        <v>447</v>
      </c>
      <c r="C14" s="274">
        <v>25130</v>
      </c>
      <c r="D14" s="274">
        <v>15303</v>
      </c>
      <c r="E14" s="276" t="s">
        <v>444</v>
      </c>
      <c r="F14" s="276" t="s">
        <v>445</v>
      </c>
      <c r="G14" s="276" t="s">
        <v>445</v>
      </c>
      <c r="H14" s="274">
        <v>2508</v>
      </c>
      <c r="I14" s="277">
        <v>0</v>
      </c>
      <c r="J14" s="276" t="s">
        <v>446</v>
      </c>
    </row>
    <row r="15" spans="1:12" s="266" customFormat="1" ht="16.5" customHeight="1" x14ac:dyDescent="0.25">
      <c r="A15" s="265" t="s">
        <v>505</v>
      </c>
      <c r="B15" s="264" t="s">
        <v>448</v>
      </c>
      <c r="C15" s="278">
        <f>SUM(C13:C14)</f>
        <v>25630</v>
      </c>
      <c r="D15" s="278">
        <f>SUM(D13:D14)</f>
        <v>15378</v>
      </c>
      <c r="E15" s="279"/>
      <c r="F15" s="279"/>
      <c r="G15" s="279"/>
      <c r="H15" s="278">
        <f>SUM(H13:H14)</f>
        <v>2558</v>
      </c>
      <c r="I15" s="277"/>
      <c r="J15" s="276" t="s">
        <v>446</v>
      </c>
      <c r="K15" s="263"/>
      <c r="L15" s="263"/>
    </row>
  </sheetData>
  <mergeCells count="15"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4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IV100"/>
  <sheetViews>
    <sheetView topLeftCell="A73" workbookViewId="0">
      <selection activeCell="M16" sqref="M16"/>
    </sheetView>
  </sheetViews>
  <sheetFormatPr defaultColWidth="61.7109375" defaultRowHeight="12" x14ac:dyDescent="0.2"/>
  <cols>
    <col min="1" max="1" width="61.7109375" style="135" customWidth="1"/>
    <col min="2" max="2" width="9.85546875" style="135" hidden="1" customWidth="1"/>
    <col min="3" max="3" width="11.7109375" style="135" hidden="1" customWidth="1"/>
    <col min="4" max="4" width="9.85546875" style="135" hidden="1" customWidth="1"/>
    <col min="5" max="5" width="15.85546875" style="139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250" t="s">
        <v>1193</v>
      </c>
      <c r="B1" s="1250"/>
      <c r="C1" s="1250"/>
      <c r="D1" s="1250"/>
      <c r="E1" s="1250"/>
      <c r="F1" s="1250"/>
      <c r="G1" s="1250"/>
      <c r="H1" s="1250"/>
      <c r="I1" s="1250"/>
    </row>
    <row r="2" spans="1:256" x14ac:dyDescent="0.2">
      <c r="F2" s="1260"/>
      <c r="G2" s="1260"/>
      <c r="H2" s="1260"/>
      <c r="I2" s="1260"/>
    </row>
    <row r="4" spans="1:256" ht="30" customHeight="1" x14ac:dyDescent="0.2">
      <c r="A4" s="1261" t="s">
        <v>78</v>
      </c>
      <c r="B4" s="1261"/>
      <c r="C4" s="1261"/>
      <c r="D4" s="1261"/>
      <c r="E4" s="1261"/>
      <c r="F4" s="1262"/>
      <c r="G4" s="1262"/>
      <c r="H4" s="1262"/>
      <c r="I4" s="1262"/>
    </row>
    <row r="5" spans="1:256" ht="33" customHeight="1" x14ac:dyDescent="0.2">
      <c r="A5" s="1261" t="s">
        <v>1111</v>
      </c>
      <c r="B5" s="1261"/>
      <c r="C5" s="1261"/>
      <c r="D5" s="1261"/>
      <c r="E5" s="1261"/>
      <c r="F5" s="1262"/>
      <c r="G5" s="1262"/>
      <c r="H5" s="1262"/>
      <c r="I5" s="1262"/>
    </row>
    <row r="7" spans="1:256" ht="13.5" thickBot="1" x14ac:dyDescent="0.25">
      <c r="E7" s="390" t="s">
        <v>20</v>
      </c>
      <c r="F7" s="637"/>
    </row>
    <row r="8" spans="1:256" ht="30.75" customHeight="1" thickBot="1" x14ac:dyDescent="0.25">
      <c r="A8" s="1253" t="s">
        <v>79</v>
      </c>
      <c r="B8" s="1255" t="s">
        <v>112</v>
      </c>
      <c r="C8" s="1256"/>
      <c r="D8" s="1256"/>
      <c r="E8" s="1256"/>
      <c r="F8" s="1257" t="s">
        <v>1064</v>
      </c>
      <c r="G8" s="1258"/>
      <c r="H8" s="1258"/>
      <c r="I8" s="1259"/>
    </row>
    <row r="9" spans="1:256" ht="36.75" thickBot="1" x14ac:dyDescent="0.25">
      <c r="A9" s="1254"/>
      <c r="B9" s="204" t="s">
        <v>80</v>
      </c>
      <c r="C9" s="136" t="s">
        <v>81</v>
      </c>
      <c r="D9" s="136" t="s">
        <v>707</v>
      </c>
      <c r="E9" s="205" t="s">
        <v>82</v>
      </c>
      <c r="F9" s="204" t="s">
        <v>80</v>
      </c>
      <c r="G9" s="136" t="s">
        <v>81</v>
      </c>
      <c r="H9" s="136" t="s">
        <v>707</v>
      </c>
      <c r="I9" s="205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402" t="s">
        <v>83</v>
      </c>
      <c r="B10" s="403"/>
      <c r="C10" s="403"/>
      <c r="D10" s="403"/>
      <c r="E10" s="403"/>
      <c r="F10" s="404"/>
      <c r="G10" s="404"/>
      <c r="H10" s="404"/>
      <c r="I10" s="404"/>
      <c r="J10" s="425"/>
    </row>
    <row r="11" spans="1:256" ht="12.75" x14ac:dyDescent="0.2">
      <c r="A11" s="397" t="s">
        <v>846</v>
      </c>
      <c r="B11" s="492"/>
      <c r="C11" s="492"/>
      <c r="D11" s="492"/>
      <c r="E11" s="492"/>
      <c r="F11" s="549"/>
      <c r="G11" s="549"/>
      <c r="H11" s="549"/>
      <c r="I11" s="549"/>
      <c r="J11" s="425"/>
    </row>
    <row r="12" spans="1:256" ht="36" x14ac:dyDescent="0.2">
      <c r="A12" s="489" t="s">
        <v>847</v>
      </c>
      <c r="B12" s="492">
        <v>4865</v>
      </c>
      <c r="C12" s="550">
        <v>18.690000000000001</v>
      </c>
      <c r="D12" s="492">
        <v>4580000</v>
      </c>
      <c r="E12" s="492">
        <f>C12*D12</f>
        <v>85600200</v>
      </c>
      <c r="F12" s="588" t="s">
        <v>1065</v>
      </c>
      <c r="G12" s="392">
        <v>18.32</v>
      </c>
      <c r="H12" s="392">
        <v>4580000</v>
      </c>
      <c r="I12" s="393">
        <f>G12*H12</f>
        <v>83905600</v>
      </c>
      <c r="J12" s="425"/>
    </row>
    <row r="13" spans="1:256" ht="12.75" x14ac:dyDescent="0.2">
      <c r="A13" s="397" t="s">
        <v>848</v>
      </c>
      <c r="B13" s="492"/>
      <c r="C13" s="492"/>
      <c r="D13" s="492"/>
      <c r="E13" s="492"/>
      <c r="F13" s="449"/>
      <c r="G13" s="497"/>
      <c r="H13" s="497"/>
      <c r="I13" s="449"/>
      <c r="J13" s="425"/>
    </row>
    <row r="14" spans="1:256" ht="12.75" x14ac:dyDescent="0.2">
      <c r="A14" s="489" t="s">
        <v>849</v>
      </c>
      <c r="B14" s="492"/>
      <c r="C14" s="501"/>
      <c r="D14" s="492" t="s">
        <v>303</v>
      </c>
      <c r="E14" s="492">
        <v>8328800</v>
      </c>
      <c r="F14" s="449"/>
      <c r="G14" s="497"/>
      <c r="H14" s="392" t="s">
        <v>303</v>
      </c>
      <c r="I14" s="393">
        <v>8329050</v>
      </c>
      <c r="J14" s="425"/>
    </row>
    <row r="15" spans="1:256" ht="12.75" x14ac:dyDescent="0.2">
      <c r="A15" s="489" t="s">
        <v>850</v>
      </c>
      <c r="B15" s="394"/>
      <c r="C15" s="395"/>
      <c r="D15" s="394"/>
      <c r="E15" s="394"/>
      <c r="F15" s="393"/>
      <c r="G15" s="392"/>
      <c r="H15" s="392"/>
      <c r="I15" s="393">
        <v>-8329050</v>
      </c>
      <c r="J15" s="425"/>
    </row>
    <row r="16" spans="1:256" ht="24" x14ac:dyDescent="0.2">
      <c r="A16" s="489" t="s">
        <v>851</v>
      </c>
      <c r="B16" s="394"/>
      <c r="C16" s="395"/>
      <c r="D16" s="394"/>
      <c r="E16" s="394"/>
      <c r="F16" s="393"/>
      <c r="G16" s="392"/>
      <c r="H16" s="392"/>
      <c r="I16" s="393">
        <f>I14+I15</f>
        <v>0</v>
      </c>
      <c r="J16" s="425"/>
    </row>
    <row r="17" spans="1:10" ht="12.75" x14ac:dyDescent="0.2">
      <c r="A17" s="397" t="s">
        <v>852</v>
      </c>
      <c r="B17" s="492"/>
      <c r="C17" s="492"/>
      <c r="D17" s="553" t="s">
        <v>304</v>
      </c>
      <c r="E17" s="492">
        <v>18272000</v>
      </c>
      <c r="F17" s="449"/>
      <c r="G17" s="497"/>
      <c r="H17" s="392" t="s">
        <v>305</v>
      </c>
      <c r="I17" s="393">
        <v>18304000</v>
      </c>
      <c r="J17" s="425"/>
    </row>
    <row r="18" spans="1:10" ht="12.75" x14ac:dyDescent="0.2">
      <c r="A18" s="397" t="s">
        <v>850</v>
      </c>
      <c r="B18" s="394"/>
      <c r="C18" s="394"/>
      <c r="D18" s="491"/>
      <c r="E18" s="394"/>
      <c r="F18" s="393"/>
      <c r="G18" s="392"/>
      <c r="H18" s="392"/>
      <c r="I18" s="393">
        <v>-18304000</v>
      </c>
      <c r="J18" s="425"/>
    </row>
    <row r="19" spans="1:10" ht="12.75" x14ac:dyDescent="0.2">
      <c r="A19" s="397" t="s">
        <v>853</v>
      </c>
      <c r="B19" s="394"/>
      <c r="C19" s="394"/>
      <c r="D19" s="491"/>
      <c r="E19" s="394"/>
      <c r="F19" s="393"/>
      <c r="G19" s="392"/>
      <c r="H19" s="392"/>
      <c r="I19" s="393">
        <f>I17+I18</f>
        <v>0</v>
      </c>
      <c r="J19" s="425"/>
    </row>
    <row r="20" spans="1:10" ht="12.75" x14ac:dyDescent="0.2">
      <c r="A20" s="397" t="s">
        <v>854</v>
      </c>
      <c r="B20" s="492"/>
      <c r="C20" s="492" t="s">
        <v>855</v>
      </c>
      <c r="D20" s="493" t="s">
        <v>708</v>
      </c>
      <c r="E20" s="492">
        <v>1355022</v>
      </c>
      <c r="F20" s="449"/>
      <c r="G20" s="492"/>
      <c r="H20" s="494" t="s">
        <v>708</v>
      </c>
      <c r="I20" s="393">
        <v>1355022</v>
      </c>
      <c r="J20" s="425"/>
    </row>
    <row r="21" spans="1:10" ht="12.75" x14ac:dyDescent="0.2">
      <c r="A21" s="397" t="s">
        <v>856</v>
      </c>
      <c r="B21" s="394"/>
      <c r="C21" s="394"/>
      <c r="D21" s="494"/>
      <c r="E21" s="394"/>
      <c r="F21" s="393"/>
      <c r="G21" s="394"/>
      <c r="H21" s="494"/>
      <c r="I21" s="393">
        <v>-1355022</v>
      </c>
      <c r="J21" s="425"/>
    </row>
    <row r="22" spans="1:10" ht="12.75" x14ac:dyDescent="0.2">
      <c r="A22" s="397" t="s">
        <v>857</v>
      </c>
      <c r="B22" s="394"/>
      <c r="C22" s="394"/>
      <c r="D22" s="494"/>
      <c r="E22" s="394"/>
      <c r="F22" s="393"/>
      <c r="G22" s="394"/>
      <c r="H22" s="494"/>
      <c r="I22" s="393">
        <f>I20+I21</f>
        <v>0</v>
      </c>
      <c r="J22" s="425"/>
    </row>
    <row r="23" spans="1:10" ht="12.75" x14ac:dyDescent="0.2">
      <c r="A23" s="397" t="s">
        <v>858</v>
      </c>
      <c r="B23" s="492"/>
      <c r="C23" s="501"/>
      <c r="D23" s="553" t="s">
        <v>709</v>
      </c>
      <c r="E23" s="492">
        <v>6369620</v>
      </c>
      <c r="F23" s="449"/>
      <c r="G23" s="497"/>
      <c r="H23" s="491" t="s">
        <v>709</v>
      </c>
      <c r="I23" s="393">
        <v>6369620</v>
      </c>
      <c r="J23" s="425"/>
    </row>
    <row r="24" spans="1:10" ht="12.75" x14ac:dyDescent="0.2">
      <c r="A24" s="397" t="s">
        <v>856</v>
      </c>
      <c r="B24" s="394"/>
      <c r="C24" s="395"/>
      <c r="D24" s="491"/>
      <c r="E24" s="394"/>
      <c r="F24" s="393"/>
      <c r="G24" s="392"/>
      <c r="H24" s="491"/>
      <c r="I24" s="393">
        <v>-6369620</v>
      </c>
      <c r="J24" s="425"/>
    </row>
    <row r="25" spans="1:10" ht="12.75" x14ac:dyDescent="0.2">
      <c r="A25" s="397" t="s">
        <v>859</v>
      </c>
      <c r="B25" s="394"/>
      <c r="C25" s="395"/>
      <c r="D25" s="491"/>
      <c r="E25" s="394"/>
      <c r="F25" s="393"/>
      <c r="G25" s="392"/>
      <c r="H25" s="491"/>
      <c r="I25" s="393">
        <f>I23+I24</f>
        <v>0</v>
      </c>
      <c r="J25" s="425"/>
    </row>
    <row r="26" spans="1:10" ht="12.75" x14ac:dyDescent="0.2">
      <c r="A26" s="397" t="s">
        <v>860</v>
      </c>
      <c r="B26" s="492">
        <v>4865</v>
      </c>
      <c r="C26" s="492"/>
      <c r="D26" s="492">
        <v>2700</v>
      </c>
      <c r="E26" s="492">
        <f>B26*D26</f>
        <v>13135500</v>
      </c>
      <c r="F26" s="393">
        <v>4705</v>
      </c>
      <c r="G26" s="497"/>
      <c r="H26" s="394">
        <v>2700</v>
      </c>
      <c r="I26" s="393">
        <f>F26*H26</f>
        <v>12703500</v>
      </c>
      <c r="J26" s="425"/>
    </row>
    <row r="27" spans="1:10" ht="12.75" x14ac:dyDescent="0.2">
      <c r="A27" s="397" t="s">
        <v>861</v>
      </c>
      <c r="B27" s="394"/>
      <c r="C27" s="394"/>
      <c r="D27" s="394"/>
      <c r="E27" s="394">
        <v>-13135500</v>
      </c>
      <c r="F27" s="393"/>
      <c r="G27" s="392"/>
      <c r="H27" s="392"/>
      <c r="I27" s="393">
        <v>-12703500</v>
      </c>
      <c r="J27" s="425"/>
    </row>
    <row r="28" spans="1:10" ht="12.75" x14ac:dyDescent="0.2">
      <c r="A28" s="397" t="s">
        <v>862</v>
      </c>
      <c r="B28" s="394"/>
      <c r="C28" s="394"/>
      <c r="D28" s="394"/>
      <c r="E28" s="394">
        <f>E26+E27</f>
        <v>0</v>
      </c>
      <c r="F28" s="393"/>
      <c r="G28" s="392"/>
      <c r="H28" s="392"/>
      <c r="I28" s="393">
        <f>I26+I27</f>
        <v>0</v>
      </c>
      <c r="J28" s="425"/>
    </row>
    <row r="29" spans="1:10" ht="12.75" x14ac:dyDescent="0.2">
      <c r="A29" s="397" t="s">
        <v>863</v>
      </c>
      <c r="B29" s="492">
        <v>10</v>
      </c>
      <c r="C29" s="492"/>
      <c r="D29" s="492" t="s">
        <v>306</v>
      </c>
      <c r="E29" s="495">
        <v>25500</v>
      </c>
      <c r="F29" s="393">
        <v>21</v>
      </c>
      <c r="G29" s="497"/>
      <c r="H29" s="394" t="s">
        <v>306</v>
      </c>
      <c r="I29" s="393">
        <v>53550</v>
      </c>
      <c r="J29" s="425"/>
    </row>
    <row r="30" spans="1:10" ht="12.75" x14ac:dyDescent="0.2">
      <c r="A30" s="397" t="s">
        <v>864</v>
      </c>
      <c r="B30" s="394"/>
      <c r="C30" s="394"/>
      <c r="D30" s="394"/>
      <c r="E30" s="394">
        <v>-25500</v>
      </c>
      <c r="F30" s="393"/>
      <c r="G30" s="392"/>
      <c r="H30" s="392"/>
      <c r="I30" s="393">
        <v>-53550</v>
      </c>
      <c r="J30" s="425"/>
    </row>
    <row r="31" spans="1:10" ht="12.75" x14ac:dyDescent="0.2">
      <c r="A31" s="397" t="s">
        <v>865</v>
      </c>
      <c r="B31" s="492"/>
      <c r="C31" s="492"/>
      <c r="D31" s="492"/>
      <c r="E31" s="495">
        <v>0</v>
      </c>
      <c r="F31" s="449"/>
      <c r="G31" s="497"/>
      <c r="H31" s="497"/>
      <c r="I31" s="393">
        <f>I29+I30</f>
        <v>0</v>
      </c>
      <c r="J31" s="425"/>
    </row>
    <row r="32" spans="1:10" ht="12.75" x14ac:dyDescent="0.2">
      <c r="A32" s="552" t="s">
        <v>972</v>
      </c>
      <c r="B32" s="492"/>
      <c r="C32" s="492">
        <v>487729000</v>
      </c>
      <c r="D32" s="501">
        <v>1.55</v>
      </c>
      <c r="E32" s="492">
        <f>C32*D32</f>
        <v>755979950</v>
      </c>
      <c r="F32" s="449"/>
      <c r="G32" s="393">
        <v>540752027</v>
      </c>
      <c r="H32" s="395">
        <v>1</v>
      </c>
      <c r="I32" s="393">
        <f>G32*H32</f>
        <v>540752027</v>
      </c>
      <c r="J32" s="425"/>
    </row>
    <row r="33" spans="1:18" ht="12.75" x14ac:dyDescent="0.2">
      <c r="A33" s="397" t="s">
        <v>861</v>
      </c>
      <c r="B33" s="394"/>
      <c r="C33" s="394"/>
      <c r="D33" s="398"/>
      <c r="E33" s="394">
        <v>-98054262</v>
      </c>
      <c r="F33" s="393"/>
      <c r="G33" s="392"/>
      <c r="H33" s="392"/>
      <c r="I33" s="393">
        <v>-76318159</v>
      </c>
      <c r="J33" s="425"/>
    </row>
    <row r="34" spans="1:18" ht="12.75" x14ac:dyDescent="0.2">
      <c r="A34" s="397" t="s">
        <v>867</v>
      </c>
      <c r="B34" s="492"/>
      <c r="C34" s="492"/>
      <c r="D34" s="506"/>
      <c r="E34" s="492">
        <f>E32+E33</f>
        <v>657925688</v>
      </c>
      <c r="F34" s="449"/>
      <c r="G34" s="497"/>
      <c r="H34" s="497"/>
      <c r="I34" s="393">
        <f>I32+I33</f>
        <v>464433868</v>
      </c>
      <c r="J34" s="425"/>
    </row>
    <row r="35" spans="1:18" ht="12.75" x14ac:dyDescent="0.2">
      <c r="A35" s="496" t="s">
        <v>1066</v>
      </c>
      <c r="B35" s="492"/>
      <c r="C35" s="492"/>
      <c r="D35" s="492"/>
      <c r="E35" s="492">
        <v>0</v>
      </c>
      <c r="F35" s="449"/>
      <c r="G35" s="497"/>
      <c r="H35" s="497"/>
      <c r="I35" s="449">
        <v>0</v>
      </c>
      <c r="J35" s="425"/>
      <c r="K35" s="498">
        <f>I12+I16+I19+I25+I28+I31+I34+I35</f>
        <v>548339468</v>
      </c>
      <c r="L35" s="6" t="s">
        <v>942</v>
      </c>
    </row>
    <row r="36" spans="1:18" ht="24" x14ac:dyDescent="0.2">
      <c r="A36" s="489" t="s">
        <v>1067</v>
      </c>
      <c r="B36" s="492"/>
      <c r="C36" s="492"/>
      <c r="D36" s="492"/>
      <c r="E36" s="492"/>
      <c r="F36" s="449"/>
      <c r="G36" s="497"/>
      <c r="H36" s="497"/>
      <c r="I36" s="393">
        <v>0</v>
      </c>
      <c r="J36" s="425"/>
      <c r="K36" s="498"/>
    </row>
    <row r="37" spans="1:18" ht="12.75" x14ac:dyDescent="0.2">
      <c r="A37" s="496"/>
      <c r="B37" s="492"/>
      <c r="C37" s="492"/>
      <c r="D37" s="492"/>
      <c r="E37" s="492"/>
      <c r="F37" s="449"/>
      <c r="G37" s="497"/>
      <c r="H37" s="497"/>
      <c r="I37" s="449"/>
      <c r="J37" s="425"/>
      <c r="K37" s="498"/>
    </row>
    <row r="38" spans="1:18" ht="12.75" x14ac:dyDescent="0.2">
      <c r="A38" s="499" t="s">
        <v>84</v>
      </c>
      <c r="B38" s="492"/>
      <c r="C38" s="492"/>
      <c r="D38" s="492"/>
      <c r="E38" s="492"/>
      <c r="F38" s="449"/>
      <c r="G38" s="497"/>
      <c r="H38" s="497"/>
      <c r="I38" s="449"/>
      <c r="J38" s="425"/>
    </row>
    <row r="39" spans="1:18" ht="24" x14ac:dyDescent="0.2">
      <c r="A39" s="489" t="s">
        <v>869</v>
      </c>
      <c r="B39" s="492"/>
      <c r="C39" s="492"/>
      <c r="D39" s="492"/>
      <c r="E39" s="492"/>
      <c r="F39" s="449"/>
      <c r="G39" s="497"/>
      <c r="H39" s="497"/>
      <c r="I39" s="449"/>
      <c r="J39" s="425"/>
    </row>
    <row r="40" spans="1:18" ht="12.75" x14ac:dyDescent="0.2">
      <c r="A40" s="489" t="s">
        <v>870</v>
      </c>
      <c r="B40" s="492"/>
      <c r="C40" s="501">
        <v>13.1</v>
      </c>
      <c r="D40" s="492">
        <v>4152000</v>
      </c>
      <c r="E40" s="492">
        <f>C40*D40*8/12</f>
        <v>36260800</v>
      </c>
      <c r="F40" s="618" t="s">
        <v>1112</v>
      </c>
      <c r="G40" s="554">
        <v>12.5</v>
      </c>
      <c r="H40" s="611">
        <v>4419000</v>
      </c>
      <c r="I40" s="393">
        <f>G40*8/12*4419000</f>
        <v>36825000</v>
      </c>
      <c r="J40" s="425"/>
    </row>
    <row r="41" spans="1:18" ht="12.75" x14ac:dyDescent="0.2">
      <c r="A41" s="489" t="s">
        <v>871</v>
      </c>
      <c r="B41" s="492"/>
      <c r="C41" s="501">
        <v>13.1</v>
      </c>
      <c r="D41" s="502">
        <v>4152000</v>
      </c>
      <c r="E41" s="492">
        <f>C41*D41*4/12</f>
        <v>18130400</v>
      </c>
      <c r="F41" s="618" t="s">
        <v>1112</v>
      </c>
      <c r="G41" s="500">
        <v>12.5</v>
      </c>
      <c r="H41" s="611">
        <v>4419000</v>
      </c>
      <c r="I41" s="393">
        <f>G41*4/12*H41</f>
        <v>18412500</v>
      </c>
      <c r="J41" s="425"/>
    </row>
    <row r="42" spans="1:18" ht="24" x14ac:dyDescent="0.2">
      <c r="A42" s="489" t="s">
        <v>872</v>
      </c>
      <c r="B42" s="492"/>
      <c r="C42" s="492">
        <v>10</v>
      </c>
      <c r="D42" s="492">
        <v>1800000</v>
      </c>
      <c r="E42" s="495">
        <f>C42*D42*8/12</f>
        <v>12000000</v>
      </c>
      <c r="F42" s="551"/>
      <c r="G42" s="500">
        <v>9</v>
      </c>
      <c r="H42" s="611">
        <v>2205000</v>
      </c>
      <c r="I42" s="393">
        <f>G42*H42*8/12</f>
        <v>13230000</v>
      </c>
      <c r="J42" s="425"/>
    </row>
    <row r="43" spans="1:18" ht="24" x14ac:dyDescent="0.2">
      <c r="A43" s="489" t="s">
        <v>973</v>
      </c>
      <c r="B43" s="492"/>
      <c r="C43" s="492"/>
      <c r="D43" s="492"/>
      <c r="E43" s="495"/>
      <c r="F43" s="449"/>
      <c r="G43" s="500">
        <v>0</v>
      </c>
      <c r="H43" s="611">
        <v>4419000</v>
      </c>
      <c r="I43" s="393">
        <f>G43*H43*8/12</f>
        <v>0</v>
      </c>
      <c r="J43" s="425"/>
    </row>
    <row r="44" spans="1:18" ht="24" x14ac:dyDescent="0.2">
      <c r="A44" s="489" t="s">
        <v>874</v>
      </c>
      <c r="B44" s="492"/>
      <c r="C44" s="492">
        <v>10</v>
      </c>
      <c r="D44" s="492">
        <v>1800000</v>
      </c>
      <c r="E44" s="492">
        <f>C44*D44*4/12</f>
        <v>6000000</v>
      </c>
      <c r="F44" s="449"/>
      <c r="G44" s="500">
        <v>9</v>
      </c>
      <c r="H44" s="611">
        <v>2205000</v>
      </c>
      <c r="I44" s="393">
        <f>G44*H44*4/12</f>
        <v>6615000</v>
      </c>
      <c r="J44" s="426"/>
    </row>
    <row r="45" spans="1:18" ht="39" x14ac:dyDescent="0.2">
      <c r="A45" s="489" t="s">
        <v>974</v>
      </c>
      <c r="B45" s="492"/>
      <c r="C45" s="492"/>
      <c r="D45" s="492"/>
      <c r="E45" s="492"/>
      <c r="F45" s="449"/>
      <c r="G45" s="500">
        <v>0</v>
      </c>
      <c r="H45" s="611">
        <v>4419000</v>
      </c>
      <c r="I45" s="393">
        <f>G45*H45*4/12</f>
        <v>0</v>
      </c>
      <c r="J45" s="426"/>
      <c r="K45" s="599" t="s">
        <v>943</v>
      </c>
      <c r="L45" s="498">
        <f>I12+I14+I17+I20+I23+I26+I29+I32</f>
        <v>671772369</v>
      </c>
      <c r="N45" s="600" t="s">
        <v>1113</v>
      </c>
      <c r="O45" s="498">
        <v>123432901</v>
      </c>
      <c r="P45" s="498">
        <f>I15+I18+I21+I24+I27+I30</f>
        <v>-47114742</v>
      </c>
      <c r="Q45" s="498">
        <f>O45+P45</f>
        <v>76318159</v>
      </c>
      <c r="R45" s="600" t="s">
        <v>944</v>
      </c>
    </row>
    <row r="46" spans="1:18" ht="12.75" x14ac:dyDescent="0.2">
      <c r="A46" s="397" t="s">
        <v>877</v>
      </c>
      <c r="B46" s="492"/>
      <c r="C46" s="492"/>
      <c r="D46" s="492"/>
      <c r="E46" s="492"/>
      <c r="F46" s="449"/>
      <c r="G46" s="497"/>
      <c r="H46" s="497"/>
      <c r="I46" s="449"/>
      <c r="J46" s="425"/>
    </row>
    <row r="47" spans="1:18" ht="24" x14ac:dyDescent="0.2">
      <c r="A47" s="489" t="s">
        <v>975</v>
      </c>
      <c r="B47" s="492"/>
      <c r="C47" s="492">
        <v>142</v>
      </c>
      <c r="D47" s="492">
        <v>70000</v>
      </c>
      <c r="E47" s="492">
        <f>C47*D47*8/12</f>
        <v>6626666.666666667</v>
      </c>
      <c r="F47" s="588"/>
      <c r="G47" s="393">
        <v>138</v>
      </c>
      <c r="H47" s="394">
        <v>81700</v>
      </c>
      <c r="I47" s="393">
        <f>G47*H47*8/12</f>
        <v>7516400</v>
      </c>
      <c r="J47" s="425"/>
    </row>
    <row r="48" spans="1:18" ht="24" x14ac:dyDescent="0.2">
      <c r="A48" s="489" t="s">
        <v>976</v>
      </c>
      <c r="B48" s="492"/>
      <c r="C48" s="492"/>
      <c r="D48" s="492"/>
      <c r="E48" s="492"/>
      <c r="F48" s="588"/>
      <c r="G48" s="393">
        <v>0</v>
      </c>
      <c r="H48" s="394">
        <v>80000</v>
      </c>
      <c r="I48" s="393">
        <v>0</v>
      </c>
      <c r="J48" s="425"/>
    </row>
    <row r="49" spans="1:12" ht="24" x14ac:dyDescent="0.2">
      <c r="A49" s="489" t="s">
        <v>926</v>
      </c>
      <c r="B49" s="492"/>
      <c r="C49" s="492">
        <v>142</v>
      </c>
      <c r="D49" s="492">
        <v>70000</v>
      </c>
      <c r="E49" s="492">
        <f>C49*D49*4/12</f>
        <v>3313333.3333333335</v>
      </c>
      <c r="F49" s="551"/>
      <c r="G49" s="393">
        <v>138</v>
      </c>
      <c r="H49" s="394">
        <v>81700</v>
      </c>
      <c r="I49" s="393">
        <f>G49*H49*4/12</f>
        <v>3758200</v>
      </c>
      <c r="J49" s="425"/>
    </row>
    <row r="50" spans="1:12" ht="24" x14ac:dyDescent="0.2">
      <c r="A50" s="489" t="s">
        <v>977</v>
      </c>
      <c r="B50" s="492"/>
      <c r="C50" s="492"/>
      <c r="D50" s="492"/>
      <c r="E50" s="492"/>
      <c r="F50" s="551"/>
      <c r="G50" s="393">
        <v>0</v>
      </c>
      <c r="H50" s="394">
        <v>80000</v>
      </c>
      <c r="I50" s="393">
        <v>0</v>
      </c>
      <c r="J50" s="425"/>
    </row>
    <row r="51" spans="1:12" ht="12.75" x14ac:dyDescent="0.2">
      <c r="A51" s="397" t="s">
        <v>927</v>
      </c>
      <c r="B51" s="492"/>
      <c r="C51" s="492"/>
      <c r="D51" s="492"/>
      <c r="E51" s="492"/>
      <c r="F51" s="449"/>
      <c r="G51" s="497"/>
      <c r="H51" s="497"/>
      <c r="I51" s="449"/>
      <c r="J51" s="425"/>
    </row>
    <row r="52" spans="1:12" ht="48" x14ac:dyDescent="0.2">
      <c r="A52" s="489" t="s">
        <v>1068</v>
      </c>
      <c r="B52" s="492"/>
      <c r="C52" s="492">
        <v>5</v>
      </c>
      <c r="D52" s="555" t="s">
        <v>307</v>
      </c>
      <c r="E52" s="492">
        <v>1760000</v>
      </c>
      <c r="F52" s="449"/>
      <c r="G52" s="392">
        <v>4</v>
      </c>
      <c r="H52" s="393">
        <v>401000</v>
      </c>
      <c r="I52" s="393">
        <f>G52*H52</f>
        <v>1604000</v>
      </c>
      <c r="J52" s="425"/>
    </row>
    <row r="53" spans="1:12" ht="48" x14ac:dyDescent="0.2">
      <c r="A53" s="489" t="s">
        <v>1069</v>
      </c>
      <c r="B53" s="492"/>
      <c r="C53" s="492"/>
      <c r="D53" s="492"/>
      <c r="E53" s="492"/>
      <c r="F53" s="449"/>
      <c r="G53" s="392">
        <v>0</v>
      </c>
      <c r="H53" s="393">
        <v>367583</v>
      </c>
      <c r="I53" s="393">
        <f>G53*H53</f>
        <v>0</v>
      </c>
      <c r="J53" s="425"/>
      <c r="K53" s="498">
        <f>SUM(I40:I53)</f>
        <v>87961100</v>
      </c>
      <c r="L53" s="6" t="s">
        <v>945</v>
      </c>
    </row>
    <row r="54" spans="1:12" ht="12.75" x14ac:dyDescent="0.2">
      <c r="A54" s="489"/>
      <c r="B54" s="492"/>
      <c r="C54" s="492"/>
      <c r="D54" s="492"/>
      <c r="E54" s="492"/>
      <c r="F54" s="449"/>
      <c r="G54" s="497"/>
      <c r="H54" s="497"/>
      <c r="I54" s="449"/>
      <c r="J54" s="425"/>
      <c r="K54" s="498"/>
    </row>
    <row r="55" spans="1:12" ht="12.75" x14ac:dyDescent="0.2">
      <c r="A55" s="499" t="s">
        <v>85</v>
      </c>
      <c r="B55" s="492"/>
      <c r="C55" s="492"/>
      <c r="D55" s="492"/>
      <c r="E55" s="492"/>
      <c r="F55" s="449"/>
      <c r="G55" s="497"/>
      <c r="H55" s="497"/>
      <c r="I55" s="449"/>
      <c r="J55" s="425"/>
    </row>
    <row r="56" spans="1:12" ht="12.75" x14ac:dyDescent="0.2">
      <c r="A56" s="496" t="s">
        <v>1070</v>
      </c>
      <c r="B56" s="492"/>
      <c r="C56" s="492"/>
      <c r="D56" s="492"/>
      <c r="E56" s="492">
        <v>0</v>
      </c>
      <c r="F56" s="449"/>
      <c r="G56" s="497"/>
      <c r="H56" s="497"/>
      <c r="I56" s="393">
        <v>0</v>
      </c>
      <c r="J56" s="427"/>
    </row>
    <row r="57" spans="1:12" ht="24" x14ac:dyDescent="0.2">
      <c r="A57" s="489" t="s">
        <v>887</v>
      </c>
      <c r="B57" s="492"/>
      <c r="C57" s="492"/>
      <c r="D57" s="492"/>
      <c r="E57" s="495">
        <v>0</v>
      </c>
      <c r="F57" s="449"/>
      <c r="G57" s="497"/>
      <c r="H57" s="497"/>
      <c r="I57" s="393">
        <v>0</v>
      </c>
      <c r="J57" s="425"/>
    </row>
    <row r="58" spans="1:12" ht="12.75" x14ac:dyDescent="0.2">
      <c r="A58" s="397" t="s">
        <v>888</v>
      </c>
      <c r="B58" s="492"/>
      <c r="C58" s="492"/>
      <c r="D58" s="492"/>
      <c r="E58" s="492"/>
      <c r="F58" s="449"/>
      <c r="G58" s="497"/>
      <c r="H58" s="497"/>
      <c r="I58" s="449"/>
      <c r="J58" s="425"/>
    </row>
    <row r="59" spans="1:12" ht="12.75" x14ac:dyDescent="0.2">
      <c r="A59" s="397" t="s">
        <v>889</v>
      </c>
      <c r="B59" s="492"/>
      <c r="C59" s="492"/>
      <c r="D59" s="492"/>
      <c r="E59" s="492"/>
      <c r="F59" s="449"/>
      <c r="G59" s="497"/>
      <c r="H59" s="497"/>
      <c r="I59" s="449"/>
      <c r="J59" s="425"/>
    </row>
    <row r="60" spans="1:12" ht="12.75" x14ac:dyDescent="0.2">
      <c r="A60" s="397" t="s">
        <v>890</v>
      </c>
      <c r="B60" s="492"/>
      <c r="C60" s="492"/>
      <c r="D60" s="492"/>
      <c r="E60" s="492"/>
      <c r="F60" s="449"/>
      <c r="G60" s="497"/>
      <c r="H60" s="497"/>
      <c r="I60" s="449"/>
      <c r="J60" s="425"/>
    </row>
    <row r="61" spans="1:12" ht="36" x14ac:dyDescent="0.2">
      <c r="A61" s="503" t="s">
        <v>1071</v>
      </c>
      <c r="B61" s="496"/>
      <c r="C61" s="505"/>
      <c r="D61" s="492"/>
      <c r="E61" s="492">
        <f>C61*D61/2</f>
        <v>0</v>
      </c>
      <c r="F61" s="394">
        <v>7822</v>
      </c>
      <c r="G61" s="506"/>
      <c r="H61" s="497"/>
      <c r="I61" s="449"/>
      <c r="J61" s="427"/>
    </row>
    <row r="62" spans="1:12" ht="24" x14ac:dyDescent="0.2">
      <c r="A62" s="489" t="s">
        <v>928</v>
      </c>
      <c r="B62" s="492"/>
      <c r="C62" s="496"/>
      <c r="D62" s="492"/>
      <c r="E62" s="492"/>
      <c r="F62" s="449"/>
      <c r="G62" s="399">
        <v>0</v>
      </c>
      <c r="H62" s="497"/>
      <c r="I62" s="449"/>
      <c r="J62" s="427"/>
    </row>
    <row r="63" spans="1:12" ht="12.75" x14ac:dyDescent="0.2">
      <c r="A63" s="397" t="s">
        <v>929</v>
      </c>
      <c r="B63" s="492"/>
      <c r="C63" s="496"/>
      <c r="D63" s="492"/>
      <c r="E63" s="492"/>
      <c r="F63" s="449"/>
      <c r="G63" s="398">
        <v>1</v>
      </c>
      <c r="H63" s="497"/>
      <c r="I63" s="449"/>
      <c r="J63" s="425"/>
    </row>
    <row r="64" spans="1:12" ht="12.75" x14ac:dyDescent="0.2">
      <c r="A64" s="397" t="s">
        <v>894</v>
      </c>
      <c r="B64" s="492"/>
      <c r="C64" s="507">
        <v>0.97299999999999998</v>
      </c>
      <c r="D64" s="492">
        <v>3000000</v>
      </c>
      <c r="E64" s="492"/>
      <c r="F64" s="449"/>
      <c r="G64" s="398">
        <v>2</v>
      </c>
      <c r="H64" s="612">
        <v>3400000</v>
      </c>
      <c r="I64" s="616">
        <f>(2*1+0)*3400000</f>
        <v>6800000</v>
      </c>
      <c r="J64" s="425"/>
    </row>
    <row r="65" spans="1:12" ht="12.75" x14ac:dyDescent="0.2">
      <c r="A65" s="397" t="s">
        <v>895</v>
      </c>
      <c r="B65" s="508"/>
      <c r="C65" s="492">
        <v>80</v>
      </c>
      <c r="D65" s="492">
        <v>55360</v>
      </c>
      <c r="E65" s="492">
        <f>C65*D65</f>
        <v>4428800</v>
      </c>
      <c r="F65" s="551"/>
      <c r="G65" s="394">
        <v>80</v>
      </c>
      <c r="H65" s="394">
        <v>55360</v>
      </c>
      <c r="I65" s="394">
        <f>G65*H65</f>
        <v>4428800</v>
      </c>
      <c r="J65" s="425"/>
    </row>
    <row r="66" spans="1:12" ht="12.75" x14ac:dyDescent="0.2">
      <c r="A66" s="397" t="s">
        <v>896</v>
      </c>
      <c r="B66" s="508"/>
      <c r="C66" s="492">
        <v>55</v>
      </c>
      <c r="D66" s="492">
        <v>145000</v>
      </c>
      <c r="E66" s="492">
        <f>C66*D66</f>
        <v>7975000</v>
      </c>
      <c r="F66" s="449"/>
      <c r="G66" s="492"/>
      <c r="H66" s="492"/>
      <c r="I66" s="492"/>
      <c r="J66" s="425"/>
    </row>
    <row r="67" spans="1:12" ht="12.75" x14ac:dyDescent="0.2">
      <c r="A67" s="397" t="s">
        <v>930</v>
      </c>
      <c r="B67" s="508"/>
      <c r="C67" s="492"/>
      <c r="D67" s="492"/>
      <c r="E67" s="492"/>
      <c r="F67" s="551"/>
      <c r="G67" s="394">
        <v>5</v>
      </c>
      <c r="H67" s="394">
        <v>25000</v>
      </c>
      <c r="I67" s="394">
        <f>G67*H67</f>
        <v>125000</v>
      </c>
      <c r="J67" s="425"/>
    </row>
    <row r="68" spans="1:12" ht="12.75" x14ac:dyDescent="0.2">
      <c r="A68" s="397" t="s">
        <v>931</v>
      </c>
      <c r="B68" s="508"/>
      <c r="C68" s="492"/>
      <c r="D68" s="492"/>
      <c r="E68" s="492"/>
      <c r="F68" s="551"/>
      <c r="G68" s="394">
        <v>49</v>
      </c>
      <c r="H68" s="612">
        <v>330000</v>
      </c>
      <c r="I68" s="622">
        <f>G68*H68</f>
        <v>16170000</v>
      </c>
      <c r="J68" s="425"/>
    </row>
    <row r="69" spans="1:12" ht="12.75" x14ac:dyDescent="0.2">
      <c r="A69" s="489" t="s">
        <v>932</v>
      </c>
      <c r="B69" s="556"/>
      <c r="C69" s="394">
        <v>23</v>
      </c>
      <c r="D69" s="394">
        <v>109000</v>
      </c>
      <c r="E69" s="394">
        <f>C69*D69</f>
        <v>2507000</v>
      </c>
      <c r="F69" s="393"/>
      <c r="G69" s="394">
        <v>25</v>
      </c>
      <c r="H69" s="394">
        <v>109000</v>
      </c>
      <c r="I69" s="394">
        <f>G69*H69</f>
        <v>2725000</v>
      </c>
      <c r="J69" s="425"/>
    </row>
    <row r="70" spans="1:12" ht="12.75" x14ac:dyDescent="0.2">
      <c r="A70" s="489" t="s">
        <v>898</v>
      </c>
      <c r="B70" s="556"/>
      <c r="C70" s="394"/>
      <c r="D70" s="394"/>
      <c r="E70" s="394"/>
      <c r="F70" s="393"/>
      <c r="G70" s="392"/>
      <c r="H70" s="392"/>
      <c r="I70" s="393"/>
      <c r="J70" s="425"/>
    </row>
    <row r="71" spans="1:12" ht="24" x14ac:dyDescent="0.2">
      <c r="A71" s="489" t="s">
        <v>1072</v>
      </c>
      <c r="B71" s="508"/>
      <c r="C71" s="492"/>
      <c r="D71" s="492"/>
      <c r="E71" s="492"/>
      <c r="F71" s="449"/>
      <c r="G71" s="497"/>
      <c r="H71" s="497"/>
      <c r="I71" s="449"/>
      <c r="J71" s="425"/>
    </row>
    <row r="72" spans="1:12" ht="24" x14ac:dyDescent="0.2">
      <c r="A72" s="503" t="s">
        <v>946</v>
      </c>
      <c r="B72" s="508"/>
      <c r="C72" s="492">
        <v>15</v>
      </c>
      <c r="D72" s="492">
        <v>2606040</v>
      </c>
      <c r="E72" s="492">
        <f>C72*D72</f>
        <v>39090600</v>
      </c>
      <c r="F72" s="551"/>
      <c r="G72" s="394">
        <v>15</v>
      </c>
      <c r="H72" s="612">
        <v>2848000</v>
      </c>
      <c r="I72" s="394">
        <f>G72*H72</f>
        <v>42720000</v>
      </c>
      <c r="J72" s="425"/>
    </row>
    <row r="73" spans="1:12" ht="12.75" x14ac:dyDescent="0.2">
      <c r="A73" s="397" t="s">
        <v>903</v>
      </c>
      <c r="B73" s="508"/>
      <c r="C73" s="492"/>
      <c r="D73" s="492"/>
      <c r="E73" s="495">
        <v>37834000</v>
      </c>
      <c r="F73" s="551"/>
      <c r="G73" s="497"/>
      <c r="H73" s="497"/>
      <c r="I73" s="616">
        <v>36824000</v>
      </c>
      <c r="J73" s="429"/>
    </row>
    <row r="74" spans="1:12" ht="12.75" x14ac:dyDescent="0.2">
      <c r="A74" s="397" t="s">
        <v>1074</v>
      </c>
      <c r="B74" s="508"/>
      <c r="C74" s="492"/>
      <c r="D74" s="492"/>
      <c r="E74" s="492"/>
      <c r="F74" s="449"/>
      <c r="G74" s="497"/>
      <c r="H74" s="497"/>
      <c r="I74" s="449"/>
      <c r="J74" s="425"/>
    </row>
    <row r="75" spans="1:12" ht="12.75" x14ac:dyDescent="0.2">
      <c r="A75" s="397" t="s">
        <v>1075</v>
      </c>
      <c r="B75" s="492"/>
      <c r="C75" s="501">
        <v>12.33</v>
      </c>
      <c r="D75" s="492">
        <v>1632000</v>
      </c>
      <c r="E75" s="492">
        <f>C75*D75</f>
        <v>20122560</v>
      </c>
      <c r="F75" s="638" t="s">
        <v>1114</v>
      </c>
      <c r="G75" s="395">
        <v>14.4</v>
      </c>
      <c r="H75" s="612">
        <v>1900000</v>
      </c>
      <c r="I75" s="394">
        <f>G75*H75</f>
        <v>27360000</v>
      </c>
      <c r="J75" s="430"/>
    </row>
    <row r="76" spans="1:12" ht="12.75" x14ac:dyDescent="0.2">
      <c r="A76" s="397" t="s">
        <v>1076</v>
      </c>
      <c r="B76" s="492"/>
      <c r="C76" s="492"/>
      <c r="D76" s="492"/>
      <c r="E76" s="495">
        <v>7038795</v>
      </c>
      <c r="F76" s="551"/>
      <c r="G76" s="497"/>
      <c r="H76" s="497"/>
      <c r="I76" s="616">
        <v>23121669</v>
      </c>
      <c r="J76" s="431"/>
    </row>
    <row r="77" spans="1:12" ht="24" x14ac:dyDescent="0.2">
      <c r="A77" s="489" t="s">
        <v>1077</v>
      </c>
      <c r="B77" s="492"/>
      <c r="C77" s="492"/>
      <c r="D77" s="492"/>
      <c r="E77" s="495"/>
      <c r="F77" s="551"/>
      <c r="G77" s="393">
        <v>0</v>
      </c>
      <c r="H77" s="393">
        <v>285</v>
      </c>
      <c r="I77" s="393">
        <f>G77*H77</f>
        <v>0</v>
      </c>
      <c r="J77" s="425"/>
    </row>
    <row r="78" spans="1:12" ht="12.75" x14ac:dyDescent="0.2">
      <c r="A78" s="489" t="s">
        <v>1078</v>
      </c>
      <c r="B78" s="492"/>
      <c r="C78" s="492"/>
      <c r="D78" s="492"/>
      <c r="E78" s="511"/>
      <c r="F78" s="551"/>
      <c r="G78" s="554"/>
      <c r="H78" s="393"/>
      <c r="I78" s="393"/>
      <c r="J78" s="425"/>
      <c r="K78" s="498">
        <f>SUM(I56:I82)</f>
        <v>174499869</v>
      </c>
      <c r="L78" s="6" t="s">
        <v>947</v>
      </c>
    </row>
    <row r="79" spans="1:12" ht="12.75" x14ac:dyDescent="0.2">
      <c r="A79" s="489" t="s">
        <v>1079</v>
      </c>
      <c r="B79" s="492"/>
      <c r="C79" s="492"/>
      <c r="D79" s="492"/>
      <c r="E79" s="511"/>
      <c r="F79" s="551"/>
      <c r="G79" s="554"/>
      <c r="H79" s="393"/>
      <c r="I79" s="393"/>
      <c r="J79" s="425"/>
      <c r="K79" s="498"/>
    </row>
    <row r="80" spans="1:12" ht="36" x14ac:dyDescent="0.2">
      <c r="A80" s="489" t="s">
        <v>1082</v>
      </c>
      <c r="B80" s="492"/>
      <c r="C80" s="492"/>
      <c r="D80" s="492"/>
      <c r="E80" s="511"/>
      <c r="F80" s="588" t="s">
        <v>1083</v>
      </c>
      <c r="G80" s="554">
        <v>2</v>
      </c>
      <c r="H80" s="393">
        <v>4419000</v>
      </c>
      <c r="I80" s="393">
        <f>G80*H80</f>
        <v>8838000</v>
      </c>
      <c r="J80" s="425"/>
      <c r="K80" s="498"/>
    </row>
    <row r="81" spans="1:14" ht="36" x14ac:dyDescent="0.2">
      <c r="A81" s="489" t="s">
        <v>1150</v>
      </c>
      <c r="B81" s="492"/>
      <c r="C81" s="492"/>
      <c r="D81" s="492"/>
      <c r="E81" s="511"/>
      <c r="F81" s="588" t="s">
        <v>1081</v>
      </c>
      <c r="G81" s="554">
        <v>1.8</v>
      </c>
      <c r="H81" s="393">
        <v>2993000</v>
      </c>
      <c r="I81" s="393">
        <f>G81*H81</f>
        <v>5387400</v>
      </c>
      <c r="J81" s="425"/>
      <c r="K81" s="498"/>
    </row>
    <row r="82" spans="1:14" ht="24" x14ac:dyDescent="0.2">
      <c r="A82" s="489" t="s">
        <v>1084</v>
      </c>
      <c r="B82" s="492"/>
      <c r="C82" s="492"/>
      <c r="D82" s="492"/>
      <c r="E82" s="511"/>
      <c r="F82" s="551"/>
      <c r="G82" s="554"/>
      <c r="H82" s="393">
        <v>0</v>
      </c>
      <c r="I82" s="393">
        <v>0</v>
      </c>
      <c r="J82" s="425"/>
      <c r="K82" s="498"/>
    </row>
    <row r="83" spans="1:14" ht="12.75" x14ac:dyDescent="0.2">
      <c r="A83" s="489"/>
      <c r="B83" s="492"/>
      <c r="C83" s="492"/>
      <c r="D83" s="492"/>
      <c r="E83" s="511"/>
      <c r="F83" s="551"/>
      <c r="G83" s="554"/>
      <c r="H83" s="393"/>
      <c r="I83" s="393"/>
      <c r="J83" s="425"/>
      <c r="K83" s="498"/>
    </row>
    <row r="84" spans="1:14" ht="12.75" x14ac:dyDescent="0.2">
      <c r="A84" s="397" t="s">
        <v>909</v>
      </c>
      <c r="B84" s="492"/>
      <c r="C84" s="492"/>
      <c r="D84" s="492"/>
      <c r="E84" s="511"/>
      <c r="F84" s="449"/>
      <c r="G84" s="497"/>
      <c r="H84" s="497"/>
      <c r="I84" s="449"/>
      <c r="J84" s="425"/>
    </row>
    <row r="85" spans="1:14" ht="12.75" x14ac:dyDescent="0.2">
      <c r="A85" s="397" t="s">
        <v>910</v>
      </c>
      <c r="B85" s="492"/>
      <c r="C85" s="492"/>
      <c r="D85" s="492"/>
      <c r="E85" s="511"/>
      <c r="F85" s="449"/>
      <c r="G85" s="497"/>
      <c r="H85" s="497"/>
      <c r="I85" s="449"/>
      <c r="J85" s="425"/>
    </row>
    <row r="86" spans="1:14" ht="12.75" x14ac:dyDescent="0.2">
      <c r="A86" s="397" t="s">
        <v>911</v>
      </c>
      <c r="B86" s="492"/>
      <c r="C86" s="492">
        <v>4865</v>
      </c>
      <c r="D86" s="492">
        <v>1140</v>
      </c>
      <c r="E86" s="512"/>
      <c r="F86" s="449"/>
      <c r="G86" s="394">
        <v>4705</v>
      </c>
      <c r="H86" s="612">
        <v>1210</v>
      </c>
      <c r="I86" s="207">
        <f>G86*H86</f>
        <v>5693050</v>
      </c>
      <c r="J86" s="425"/>
    </row>
    <row r="87" spans="1:14" ht="48" x14ac:dyDescent="0.2">
      <c r="A87" s="489" t="s">
        <v>912</v>
      </c>
      <c r="B87" s="492"/>
      <c r="C87" s="492"/>
      <c r="D87" s="492"/>
      <c r="E87" s="512"/>
      <c r="F87" s="588" t="s">
        <v>1085</v>
      </c>
      <c r="G87" s="492"/>
      <c r="H87" s="492"/>
      <c r="I87" s="207">
        <v>0</v>
      </c>
      <c r="J87" s="425"/>
    </row>
    <row r="88" spans="1:14" ht="48" x14ac:dyDescent="0.2">
      <c r="A88" s="489" t="s">
        <v>1086</v>
      </c>
      <c r="B88" s="492"/>
      <c r="C88" s="492"/>
      <c r="D88" s="492"/>
      <c r="E88" s="512"/>
      <c r="F88" s="588" t="s">
        <v>1087</v>
      </c>
      <c r="G88" s="492"/>
      <c r="H88" s="492"/>
      <c r="I88" s="207">
        <v>0</v>
      </c>
      <c r="J88" s="425"/>
    </row>
    <row r="89" spans="1:14" ht="12.75" x14ac:dyDescent="0.2">
      <c r="A89" s="503" t="s">
        <v>1088</v>
      </c>
      <c r="B89" s="508"/>
      <c r="C89" s="492"/>
      <c r="D89" s="506"/>
      <c r="E89" s="492"/>
      <c r="F89" s="449"/>
      <c r="G89" s="497"/>
      <c r="H89" s="497"/>
      <c r="I89" s="449"/>
      <c r="J89" s="425"/>
      <c r="K89" s="498">
        <f>SUM(I86+I87)</f>
        <v>5693050</v>
      </c>
      <c r="L89" s="6" t="s">
        <v>948</v>
      </c>
    </row>
    <row r="90" spans="1:14" ht="24" x14ac:dyDescent="0.2">
      <c r="A90" s="513" t="s">
        <v>1089</v>
      </c>
      <c r="B90" s="557"/>
      <c r="C90" s="558"/>
      <c r="D90" s="394"/>
      <c r="E90" s="394"/>
      <c r="F90" s="559"/>
      <c r="G90" s="392"/>
      <c r="H90" s="392"/>
      <c r="I90" s="449"/>
      <c r="J90" s="425"/>
      <c r="K90" s="498"/>
      <c r="L90" s="498">
        <f>I15+I18+I21+I24+I27+I30+I33</f>
        <v>-123432901</v>
      </c>
      <c r="M90" s="560" t="s">
        <v>949</v>
      </c>
      <c r="N90" s="206"/>
    </row>
    <row r="91" spans="1:14" ht="12.75" x14ac:dyDescent="0.2">
      <c r="A91" s="538" t="s">
        <v>1090</v>
      </c>
      <c r="B91" s="561"/>
      <c r="C91" s="562"/>
      <c r="D91" s="563"/>
      <c r="E91" s="563"/>
      <c r="F91" s="564"/>
      <c r="G91" s="565"/>
      <c r="H91" s="565"/>
      <c r="I91" s="566">
        <v>0</v>
      </c>
      <c r="J91" s="425"/>
      <c r="K91" s="498"/>
      <c r="L91" s="498"/>
      <c r="M91" s="560"/>
      <c r="N91" s="206"/>
    </row>
    <row r="92" spans="1:14" ht="12.75" x14ac:dyDescent="0.2">
      <c r="A92" s="538"/>
      <c r="B92" s="561"/>
      <c r="C92" s="562"/>
      <c r="D92" s="563"/>
      <c r="E92" s="563"/>
      <c r="F92" s="561"/>
      <c r="G92" s="565"/>
      <c r="H92" s="565"/>
      <c r="I92" s="519"/>
      <c r="J92" s="425"/>
      <c r="K92" s="498"/>
      <c r="L92" s="498"/>
      <c r="N92" s="206"/>
    </row>
    <row r="93" spans="1:14" ht="12.75" x14ac:dyDescent="0.2">
      <c r="A93" s="538" t="s">
        <v>933</v>
      </c>
      <c r="B93" s="561"/>
      <c r="C93" s="562"/>
      <c r="D93" s="563"/>
      <c r="E93" s="563"/>
      <c r="F93" s="561"/>
      <c r="G93" s="565"/>
      <c r="H93" s="565"/>
      <c r="I93" s="519"/>
      <c r="J93" s="425"/>
      <c r="K93" s="498"/>
      <c r="L93" s="498"/>
      <c r="N93" s="206"/>
    </row>
    <row r="94" spans="1:14" ht="12.75" x14ac:dyDescent="0.2">
      <c r="A94" s="538" t="s">
        <v>934</v>
      </c>
      <c r="B94" s="561"/>
      <c r="C94" s="562"/>
      <c r="D94" s="563"/>
      <c r="E94" s="563"/>
      <c r="F94" s="561"/>
      <c r="G94" s="565"/>
      <c r="H94" s="565"/>
      <c r="I94" s="566">
        <v>0</v>
      </c>
      <c r="J94" s="425"/>
      <c r="K94" s="498"/>
      <c r="L94" s="498"/>
      <c r="N94" s="206"/>
    </row>
    <row r="95" spans="1:14" ht="12.75" x14ac:dyDescent="0.2">
      <c r="A95" s="539" t="s">
        <v>935</v>
      </c>
      <c r="B95" s="561"/>
      <c r="C95" s="562"/>
      <c r="D95" s="563"/>
      <c r="E95" s="563"/>
      <c r="F95" s="561"/>
      <c r="G95" s="565"/>
      <c r="H95" s="565"/>
      <c r="I95" s="566">
        <v>0</v>
      </c>
      <c r="J95" s="425"/>
      <c r="K95" s="498">
        <f>I94+I95</f>
        <v>0</v>
      </c>
      <c r="L95" s="498" t="s">
        <v>950</v>
      </c>
      <c r="N95" s="206"/>
    </row>
    <row r="96" spans="1:14" ht="13.5" thickBot="1" x14ac:dyDescent="0.25">
      <c r="A96" s="515"/>
      <c r="B96" s="516"/>
      <c r="C96" s="517"/>
      <c r="D96" s="518"/>
      <c r="E96" s="517"/>
      <c r="F96" s="519"/>
      <c r="G96" s="520"/>
      <c r="H96" s="520"/>
      <c r="I96" s="519"/>
      <c r="J96" s="425"/>
    </row>
    <row r="97" spans="1:256" ht="12.75" thickBot="1" x14ac:dyDescent="0.25">
      <c r="A97" s="521" t="s">
        <v>914</v>
      </c>
      <c r="B97" s="522"/>
      <c r="C97" s="522"/>
      <c r="D97" s="523"/>
      <c r="E97" s="524" t="e">
        <f>E12+E14+E17+E20+E23+E28+E31+E34+E40+E41+#REF!+E42+E44+E47+E49+E52+E56+E57+E61+E62+E65+E66+E69+#REF!+E72+E73+E75+E76</f>
        <v>#REF!</v>
      </c>
      <c r="F97" s="1251">
        <f>I12+I16+I19+I22+I25+I28+I31+I34+I35+I36+I40+I41+I42+I43+I44+I45+I47+I48+I49+I50+I52+I53+I56+I57+I64+I65+I67+I68+I69+I72+I73+I75+I76+I77+I80+I81+I82+I86+I87+I88+I94+I95+I91</f>
        <v>816493487</v>
      </c>
      <c r="G97" s="1251"/>
      <c r="H97" s="1251"/>
      <c r="I97" s="1252"/>
      <c r="J97" s="7"/>
      <c r="K97" s="525">
        <f>K78+K53+K35+K89</f>
        <v>816493487</v>
      </c>
      <c r="L97" s="567" t="s">
        <v>951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568"/>
      <c r="B99" s="569"/>
      <c r="C99" s="569"/>
      <c r="D99" s="569"/>
      <c r="E99" s="570"/>
      <c r="F99" s="571"/>
      <c r="G99" s="571"/>
      <c r="H99" s="571"/>
      <c r="I99" s="571"/>
    </row>
    <row r="100" spans="1:256" ht="12.75" x14ac:dyDescent="0.2">
      <c r="A100" s="613" t="s">
        <v>1134</v>
      </c>
    </row>
  </sheetData>
  <mergeCells count="8">
    <mergeCell ref="A1:I1"/>
    <mergeCell ref="F97:I97"/>
    <mergeCell ref="A8:A9"/>
    <mergeCell ref="B8:E8"/>
    <mergeCell ref="F8:I8"/>
    <mergeCell ref="F2:I2"/>
    <mergeCell ref="A4:I4"/>
    <mergeCell ref="A5:I5"/>
  </mergeCells>
  <pageMargins left="0.70866141732283472" right="0.70866141732283472" top="0.74803149606299213" bottom="0.74803149606299213" header="0.31496062992125984" footer="0.31496062992125984"/>
  <pageSetup paperSize="9" scale="42" fitToHeight="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35" customWidth="1"/>
    <col min="2" max="2" width="9.85546875" style="135" hidden="1" customWidth="1"/>
    <col min="3" max="3" width="11.7109375" style="135" hidden="1" customWidth="1"/>
    <col min="4" max="4" width="9.85546875" style="135" hidden="1" customWidth="1"/>
    <col min="5" max="5" width="15.85546875" style="139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250" t="s">
        <v>302</v>
      </c>
      <c r="C1" s="1250"/>
      <c r="D1" s="1250"/>
      <c r="E1" s="1250"/>
    </row>
    <row r="2" spans="1:10" x14ac:dyDescent="0.2">
      <c r="F2" s="1263"/>
      <c r="G2" s="1263"/>
      <c r="H2" s="1263"/>
      <c r="I2" s="1263"/>
    </row>
    <row r="4" spans="1:10" ht="12.75" x14ac:dyDescent="0.2">
      <c r="A4" s="1261" t="s">
        <v>78</v>
      </c>
      <c r="B4" s="1261"/>
      <c r="C4" s="1261"/>
      <c r="D4" s="1261"/>
      <c r="E4" s="1261"/>
      <c r="F4" s="1262"/>
      <c r="G4" s="1262"/>
      <c r="H4" s="1262"/>
      <c r="I4" s="1262"/>
    </row>
    <row r="5" spans="1:10" ht="12.75" x14ac:dyDescent="0.2">
      <c r="A5" s="1261" t="s">
        <v>925</v>
      </c>
      <c r="B5" s="1261"/>
      <c r="C5" s="1261"/>
      <c r="D5" s="1261"/>
      <c r="E5" s="1261"/>
      <c r="F5" s="1262"/>
      <c r="G5" s="1262"/>
      <c r="H5" s="1262"/>
      <c r="I5" s="1262"/>
    </row>
    <row r="7" spans="1:10" ht="13.5" thickBot="1" x14ac:dyDescent="0.25">
      <c r="E7" s="390" t="s">
        <v>20</v>
      </c>
      <c r="F7" s="401"/>
    </row>
    <row r="8" spans="1:10" ht="12.75" customHeight="1" thickBot="1" x14ac:dyDescent="0.25">
      <c r="A8" s="1253" t="s">
        <v>79</v>
      </c>
      <c r="B8" s="1255" t="s">
        <v>112</v>
      </c>
      <c r="C8" s="1256"/>
      <c r="D8" s="1256"/>
      <c r="E8" s="1256"/>
      <c r="F8" s="1255" t="s">
        <v>936</v>
      </c>
      <c r="G8" s="1256"/>
      <c r="H8" s="1256"/>
      <c r="I8" s="1256"/>
    </row>
    <row r="9" spans="1:10" s="7" customFormat="1" ht="49.5" customHeight="1" thickBot="1" x14ac:dyDescent="0.25">
      <c r="A9" s="1254"/>
      <c r="B9" s="204" t="s">
        <v>80</v>
      </c>
      <c r="C9" s="136" t="s">
        <v>81</v>
      </c>
      <c r="D9" s="136" t="s">
        <v>707</v>
      </c>
      <c r="E9" s="205" t="s">
        <v>82</v>
      </c>
      <c r="F9" s="204" t="s">
        <v>80</v>
      </c>
      <c r="G9" s="136" t="s">
        <v>81</v>
      </c>
      <c r="H9" s="136" t="s">
        <v>707</v>
      </c>
      <c r="I9" s="205" t="s">
        <v>82</v>
      </c>
    </row>
    <row r="10" spans="1:10" ht="13.5" customHeight="1" x14ac:dyDescent="0.2">
      <c r="A10" s="402" t="s">
        <v>83</v>
      </c>
      <c r="B10" s="403"/>
      <c r="C10" s="403"/>
      <c r="D10" s="403"/>
      <c r="E10" s="403"/>
      <c r="F10" s="404"/>
      <c r="G10" s="404"/>
      <c r="H10" s="404"/>
      <c r="I10" s="404"/>
      <c r="J10" s="425"/>
    </row>
    <row r="11" spans="1:10" ht="13.5" customHeight="1" x14ac:dyDescent="0.2">
      <c r="A11" s="137" t="s">
        <v>846</v>
      </c>
      <c r="B11" s="138"/>
      <c r="C11" s="138"/>
      <c r="D11" s="138"/>
      <c r="E11" s="138"/>
      <c r="F11" s="391"/>
      <c r="G11" s="391"/>
      <c r="H11" s="391"/>
      <c r="I11" s="391"/>
      <c r="J11" s="425"/>
    </row>
    <row r="12" spans="1:10" ht="30.75" customHeight="1" x14ac:dyDescent="0.2">
      <c r="A12" s="489" t="s">
        <v>847</v>
      </c>
      <c r="B12" s="394">
        <v>4865</v>
      </c>
      <c r="C12" s="490">
        <v>18.690000000000001</v>
      </c>
      <c r="D12" s="394">
        <v>4580000</v>
      </c>
      <c r="E12" s="394">
        <f>C12*D12</f>
        <v>85600200</v>
      </c>
      <c r="F12" s="393">
        <v>4837</v>
      </c>
      <c r="G12" s="392">
        <v>18.62</v>
      </c>
      <c r="H12" s="392">
        <v>4580000</v>
      </c>
      <c r="I12" s="393">
        <f>G12*H12</f>
        <v>85279600</v>
      </c>
      <c r="J12" s="425"/>
    </row>
    <row r="13" spans="1:10" ht="13.5" customHeight="1" x14ac:dyDescent="0.2">
      <c r="A13" s="397" t="s">
        <v>848</v>
      </c>
      <c r="B13" s="394"/>
      <c r="C13" s="394"/>
      <c r="D13" s="394"/>
      <c r="E13" s="394"/>
      <c r="F13" s="393"/>
      <c r="G13" s="392"/>
      <c r="H13" s="392"/>
      <c r="I13" s="393"/>
      <c r="J13" s="425"/>
    </row>
    <row r="14" spans="1:10" ht="30" customHeight="1" x14ac:dyDescent="0.2">
      <c r="A14" s="489" t="s">
        <v>849</v>
      </c>
      <c r="B14" s="394"/>
      <c r="C14" s="395"/>
      <c r="D14" s="394" t="s">
        <v>303</v>
      </c>
      <c r="E14" s="394">
        <v>8328800</v>
      </c>
      <c r="F14" s="393"/>
      <c r="G14" s="392"/>
      <c r="H14" s="392" t="s">
        <v>303</v>
      </c>
      <c r="I14" s="393">
        <v>8329050</v>
      </c>
      <c r="J14" s="425"/>
    </row>
    <row r="15" spans="1:10" ht="30" customHeight="1" x14ac:dyDescent="0.2">
      <c r="A15" s="489" t="s">
        <v>850</v>
      </c>
      <c r="B15" s="394"/>
      <c r="C15" s="395"/>
      <c r="D15" s="394"/>
      <c r="E15" s="394"/>
      <c r="F15" s="393"/>
      <c r="G15" s="392"/>
      <c r="H15" s="392"/>
      <c r="I15" s="393">
        <v>-8329050</v>
      </c>
      <c r="J15" s="425"/>
    </row>
    <row r="16" spans="1:10" ht="30" customHeight="1" x14ac:dyDescent="0.2">
      <c r="A16" s="489" t="s">
        <v>851</v>
      </c>
      <c r="B16" s="394"/>
      <c r="C16" s="395"/>
      <c r="D16" s="394"/>
      <c r="E16" s="394"/>
      <c r="F16" s="393"/>
      <c r="G16" s="392"/>
      <c r="H16" s="392"/>
      <c r="I16" s="393">
        <f>I14+I15</f>
        <v>0</v>
      </c>
      <c r="J16" s="425"/>
    </row>
    <row r="17" spans="1:10" ht="16.5" customHeight="1" x14ac:dyDescent="0.2">
      <c r="A17" s="397" t="s">
        <v>852</v>
      </c>
      <c r="B17" s="394"/>
      <c r="C17" s="394"/>
      <c r="D17" s="491" t="s">
        <v>304</v>
      </c>
      <c r="E17" s="394">
        <v>18272000</v>
      </c>
      <c r="F17" s="393"/>
      <c r="G17" s="392"/>
      <c r="H17" s="392" t="s">
        <v>305</v>
      </c>
      <c r="I17" s="393">
        <v>18304000</v>
      </c>
      <c r="J17" s="425"/>
    </row>
    <row r="18" spans="1:10" ht="16.5" customHeight="1" x14ac:dyDescent="0.2">
      <c r="A18" s="397" t="s">
        <v>850</v>
      </c>
      <c r="B18" s="394"/>
      <c r="C18" s="394"/>
      <c r="D18" s="491"/>
      <c r="E18" s="394"/>
      <c r="F18" s="393"/>
      <c r="G18" s="392"/>
      <c r="H18" s="392"/>
      <c r="I18" s="393">
        <v>-18304000</v>
      </c>
      <c r="J18" s="425"/>
    </row>
    <row r="19" spans="1:10" ht="16.5" customHeight="1" x14ac:dyDescent="0.2">
      <c r="A19" s="397" t="s">
        <v>853</v>
      </c>
      <c r="B19" s="394"/>
      <c r="C19" s="394"/>
      <c r="D19" s="491"/>
      <c r="E19" s="394"/>
      <c r="F19" s="393"/>
      <c r="G19" s="392"/>
      <c r="H19" s="392"/>
      <c r="I19" s="393">
        <f>I17+I18</f>
        <v>0</v>
      </c>
      <c r="J19" s="425"/>
    </row>
    <row r="20" spans="1:10" ht="13.5" customHeight="1" x14ac:dyDescent="0.2">
      <c r="A20" s="397" t="s">
        <v>854</v>
      </c>
      <c r="B20" s="492"/>
      <c r="C20" s="492" t="s">
        <v>855</v>
      </c>
      <c r="D20" s="493" t="s">
        <v>708</v>
      </c>
      <c r="E20" s="492">
        <v>1355022</v>
      </c>
      <c r="F20" s="449"/>
      <c r="G20" s="492"/>
      <c r="H20" s="494" t="s">
        <v>708</v>
      </c>
      <c r="I20" s="393">
        <v>1355022</v>
      </c>
      <c r="J20" s="425"/>
    </row>
    <row r="21" spans="1:10" ht="13.5" customHeight="1" x14ac:dyDescent="0.2">
      <c r="A21" s="397" t="s">
        <v>856</v>
      </c>
      <c r="B21" s="492"/>
      <c r="C21" s="492"/>
      <c r="D21" s="493"/>
      <c r="E21" s="492"/>
      <c r="F21" s="449"/>
      <c r="G21" s="492"/>
      <c r="H21" s="494"/>
      <c r="I21" s="393">
        <v>-1355022</v>
      </c>
      <c r="J21" s="425"/>
    </row>
    <row r="22" spans="1:10" ht="13.5" customHeight="1" x14ac:dyDescent="0.2">
      <c r="A22" s="397" t="s">
        <v>857</v>
      </c>
      <c r="B22" s="492"/>
      <c r="C22" s="492"/>
      <c r="D22" s="493"/>
      <c r="E22" s="492"/>
      <c r="F22" s="449"/>
      <c r="G22" s="492"/>
      <c r="H22" s="494"/>
      <c r="I22" s="393">
        <f>I20+I21</f>
        <v>0</v>
      </c>
      <c r="J22" s="425"/>
    </row>
    <row r="23" spans="1:10" ht="13.5" customHeight="1" x14ac:dyDescent="0.2">
      <c r="A23" s="397" t="s">
        <v>858</v>
      </c>
      <c r="B23" s="394"/>
      <c r="C23" s="395"/>
      <c r="D23" s="491" t="s">
        <v>709</v>
      </c>
      <c r="E23" s="394">
        <v>6369620</v>
      </c>
      <c r="F23" s="393"/>
      <c r="G23" s="392"/>
      <c r="H23" s="491" t="s">
        <v>709</v>
      </c>
      <c r="I23" s="393">
        <v>6369620</v>
      </c>
      <c r="J23" s="425"/>
    </row>
    <row r="24" spans="1:10" ht="13.5" customHeight="1" x14ac:dyDescent="0.2">
      <c r="A24" s="397" t="s">
        <v>856</v>
      </c>
      <c r="B24" s="394"/>
      <c r="C24" s="395"/>
      <c r="D24" s="491"/>
      <c r="E24" s="394"/>
      <c r="F24" s="393"/>
      <c r="G24" s="392"/>
      <c r="H24" s="491"/>
      <c r="I24" s="393">
        <v>-6369620</v>
      </c>
      <c r="J24" s="425"/>
    </row>
    <row r="25" spans="1:10" ht="13.5" customHeight="1" x14ac:dyDescent="0.2">
      <c r="A25" s="397" t="s">
        <v>859</v>
      </c>
      <c r="B25" s="394"/>
      <c r="C25" s="395"/>
      <c r="D25" s="491"/>
      <c r="E25" s="394"/>
      <c r="F25" s="393"/>
      <c r="G25" s="392"/>
      <c r="H25" s="491"/>
      <c r="I25" s="393">
        <f>I23+I24</f>
        <v>0</v>
      </c>
      <c r="J25" s="425"/>
    </row>
    <row r="26" spans="1:10" ht="13.5" customHeight="1" x14ac:dyDescent="0.2">
      <c r="A26" s="397" t="s">
        <v>860</v>
      </c>
      <c r="B26" s="394">
        <v>4865</v>
      </c>
      <c r="C26" s="394"/>
      <c r="D26" s="394">
        <v>2700</v>
      </c>
      <c r="E26" s="394">
        <f>B26*D26</f>
        <v>13135500</v>
      </c>
      <c r="F26" s="393">
        <v>4837</v>
      </c>
      <c r="G26" s="392"/>
      <c r="H26" s="394">
        <v>2700</v>
      </c>
      <c r="I26" s="393">
        <f>F26*H26</f>
        <v>13059900</v>
      </c>
      <c r="J26" s="425"/>
    </row>
    <row r="27" spans="1:10" ht="13.5" customHeight="1" x14ac:dyDescent="0.2">
      <c r="A27" s="397" t="s">
        <v>861</v>
      </c>
      <c r="B27" s="394"/>
      <c r="C27" s="394"/>
      <c r="D27" s="394"/>
      <c r="E27" s="394">
        <v>-13135500</v>
      </c>
      <c r="F27" s="393"/>
      <c r="G27" s="392"/>
      <c r="H27" s="392"/>
      <c r="I27" s="393">
        <v>-13059900</v>
      </c>
      <c r="J27" s="425"/>
    </row>
    <row r="28" spans="1:10" ht="13.5" customHeight="1" x14ac:dyDescent="0.2">
      <c r="A28" s="397" t="s">
        <v>862</v>
      </c>
      <c r="B28" s="394"/>
      <c r="C28" s="394"/>
      <c r="D28" s="394"/>
      <c r="E28" s="394">
        <f>E26+E27</f>
        <v>0</v>
      </c>
      <c r="F28" s="393"/>
      <c r="G28" s="392"/>
      <c r="H28" s="392"/>
      <c r="I28" s="393">
        <f>I26+I27</f>
        <v>0</v>
      </c>
      <c r="J28" s="425"/>
    </row>
    <row r="29" spans="1:10" ht="13.5" customHeight="1" x14ac:dyDescent="0.2">
      <c r="A29" s="397" t="s">
        <v>863</v>
      </c>
      <c r="B29" s="492">
        <v>10</v>
      </c>
      <c r="C29" s="492"/>
      <c r="D29" s="492" t="s">
        <v>306</v>
      </c>
      <c r="E29" s="495">
        <v>25500</v>
      </c>
      <c r="F29" s="393">
        <v>11</v>
      </c>
      <c r="G29" s="392"/>
      <c r="H29" s="394" t="s">
        <v>306</v>
      </c>
      <c r="I29" s="393">
        <v>28050</v>
      </c>
      <c r="J29" s="425"/>
    </row>
    <row r="30" spans="1:10" ht="13.5" customHeight="1" x14ac:dyDescent="0.2">
      <c r="A30" s="397" t="s">
        <v>864</v>
      </c>
      <c r="B30" s="492"/>
      <c r="C30" s="492"/>
      <c r="D30" s="492"/>
      <c r="E30" s="495">
        <v>-25500</v>
      </c>
      <c r="F30" s="393"/>
      <c r="G30" s="392"/>
      <c r="H30" s="392"/>
      <c r="I30" s="393">
        <v>-28050</v>
      </c>
      <c r="J30" s="425"/>
    </row>
    <row r="31" spans="1:10" ht="13.5" customHeight="1" x14ac:dyDescent="0.2">
      <c r="A31" s="397" t="s">
        <v>865</v>
      </c>
      <c r="B31" s="492"/>
      <c r="C31" s="492"/>
      <c r="D31" s="492"/>
      <c r="E31" s="495">
        <v>0</v>
      </c>
      <c r="F31" s="393"/>
      <c r="G31" s="392"/>
      <c r="H31" s="392"/>
      <c r="I31" s="393">
        <f>I29+I30</f>
        <v>0</v>
      </c>
      <c r="J31" s="425"/>
    </row>
    <row r="32" spans="1:10" ht="13.5" customHeight="1" x14ac:dyDescent="0.2">
      <c r="A32" s="397" t="s">
        <v>866</v>
      </c>
      <c r="B32" s="394"/>
      <c r="C32" s="394">
        <v>487729000</v>
      </c>
      <c r="D32" s="395">
        <v>1.55</v>
      </c>
      <c r="E32" s="394">
        <f>C32*D32</f>
        <v>755979950</v>
      </c>
      <c r="F32" s="393"/>
      <c r="G32" s="540">
        <v>482296000</v>
      </c>
      <c r="H32" s="541">
        <v>1.55</v>
      </c>
      <c r="I32" s="540">
        <f>G32*H32</f>
        <v>747558800</v>
      </c>
      <c r="J32" s="425"/>
    </row>
    <row r="33" spans="1:11" ht="13.5" customHeight="1" x14ac:dyDescent="0.2">
      <c r="A33" s="397" t="s">
        <v>861</v>
      </c>
      <c r="B33" s="394"/>
      <c r="C33" s="394"/>
      <c r="D33" s="398"/>
      <c r="E33" s="394">
        <v>-98054262</v>
      </c>
      <c r="F33" s="393"/>
      <c r="G33" s="392"/>
      <c r="H33" s="392"/>
      <c r="I33" s="393">
        <v>-69343482</v>
      </c>
      <c r="J33" s="425"/>
    </row>
    <row r="34" spans="1:11" ht="13.5" customHeight="1" x14ac:dyDescent="0.2">
      <c r="A34" s="397" t="s">
        <v>867</v>
      </c>
      <c r="B34" s="394"/>
      <c r="C34" s="394"/>
      <c r="D34" s="398"/>
      <c r="E34" s="394">
        <f>E32+E33</f>
        <v>657925688</v>
      </c>
      <c r="F34" s="393"/>
      <c r="G34" s="392"/>
      <c r="H34" s="392"/>
      <c r="I34" s="393">
        <f>I32+I33</f>
        <v>678215318</v>
      </c>
      <c r="J34" s="425"/>
    </row>
    <row r="35" spans="1:11" ht="13.5" customHeight="1" x14ac:dyDescent="0.2">
      <c r="A35" s="496" t="s">
        <v>868</v>
      </c>
      <c r="B35" s="492"/>
      <c r="C35" s="492"/>
      <c r="D35" s="492"/>
      <c r="E35" s="492">
        <v>0</v>
      </c>
      <c r="F35" s="449"/>
      <c r="G35" s="497"/>
      <c r="H35" s="497"/>
      <c r="I35" s="449">
        <v>0</v>
      </c>
      <c r="J35" s="425"/>
    </row>
    <row r="36" spans="1:11" ht="13.5" customHeight="1" x14ac:dyDescent="0.2">
      <c r="A36" s="496"/>
      <c r="B36" s="492"/>
      <c r="C36" s="492"/>
      <c r="D36" s="492"/>
      <c r="E36" s="492"/>
      <c r="F36" s="449"/>
      <c r="G36" s="497"/>
      <c r="H36" s="497"/>
      <c r="I36" s="449"/>
      <c r="J36" s="425"/>
      <c r="K36" s="498"/>
    </row>
    <row r="37" spans="1:11" ht="24.95" customHeight="1" x14ac:dyDescent="0.2">
      <c r="A37" s="499" t="s">
        <v>84</v>
      </c>
      <c r="B37" s="492"/>
      <c r="C37" s="492"/>
      <c r="D37" s="492"/>
      <c r="E37" s="492"/>
      <c r="F37" s="449"/>
      <c r="G37" s="497"/>
      <c r="H37" s="497"/>
      <c r="I37" s="449"/>
      <c r="J37" s="425"/>
    </row>
    <row r="38" spans="1:11" ht="15" customHeight="1" x14ac:dyDescent="0.2">
      <c r="A38" s="489" t="s">
        <v>869</v>
      </c>
      <c r="B38" s="492"/>
      <c r="C38" s="492"/>
      <c r="D38" s="492"/>
      <c r="E38" s="492"/>
      <c r="F38" s="449"/>
      <c r="G38" s="497"/>
      <c r="H38" s="497"/>
      <c r="I38" s="449"/>
      <c r="J38" s="425"/>
    </row>
    <row r="39" spans="1:11" ht="24" customHeight="1" x14ac:dyDescent="0.2">
      <c r="A39" s="489" t="s">
        <v>870</v>
      </c>
      <c r="B39" s="394"/>
      <c r="C39" s="395">
        <v>13.1</v>
      </c>
      <c r="D39" s="394">
        <v>4152000</v>
      </c>
      <c r="E39" s="394">
        <f>C39*D39*8/12</f>
        <v>36260800</v>
      </c>
      <c r="F39" s="393"/>
      <c r="G39" s="392">
        <v>13.3</v>
      </c>
      <c r="H39" s="393">
        <v>4308000</v>
      </c>
      <c r="I39" s="393">
        <f>G39*8/12*4308000</f>
        <v>38197600</v>
      </c>
      <c r="J39" s="425"/>
    </row>
    <row r="40" spans="1:11" ht="24" customHeight="1" x14ac:dyDescent="0.2">
      <c r="A40" s="489" t="s">
        <v>871</v>
      </c>
      <c r="B40" s="394"/>
      <c r="C40" s="395">
        <v>13.1</v>
      </c>
      <c r="D40" s="396">
        <v>4152000</v>
      </c>
      <c r="E40" s="394">
        <f>C40*D40*4/12</f>
        <v>18130400</v>
      </c>
      <c r="F40" s="393"/>
      <c r="G40" s="500">
        <v>13.4</v>
      </c>
      <c r="H40" s="393">
        <v>4308000</v>
      </c>
      <c r="I40" s="393">
        <f>G40*4/12*H40</f>
        <v>19242400</v>
      </c>
      <c r="J40" s="425"/>
    </row>
    <row r="41" spans="1:11" ht="24.95" customHeight="1" x14ac:dyDescent="0.2">
      <c r="A41" s="489" t="s">
        <v>937</v>
      </c>
      <c r="B41" s="492"/>
      <c r="C41" s="501">
        <v>13.1</v>
      </c>
      <c r="D41" s="502">
        <v>35000</v>
      </c>
      <c r="E41" s="492">
        <f>C41*D41</f>
        <v>458500</v>
      </c>
      <c r="F41" s="449"/>
      <c r="G41" s="500">
        <v>13.4</v>
      </c>
      <c r="H41" s="393">
        <v>35000</v>
      </c>
      <c r="I41" s="393">
        <f>G41*H41</f>
        <v>469000</v>
      </c>
      <c r="J41" s="425"/>
    </row>
    <row r="42" spans="1:11" ht="24.95" customHeight="1" x14ac:dyDescent="0.2">
      <c r="A42" s="489" t="s">
        <v>872</v>
      </c>
      <c r="B42" s="492"/>
      <c r="C42" s="492">
        <v>10</v>
      </c>
      <c r="D42" s="492">
        <v>1800000</v>
      </c>
      <c r="E42" s="495">
        <f>C42*D42*8/12</f>
        <v>12000000</v>
      </c>
      <c r="F42" s="449"/>
      <c r="G42" s="500">
        <v>9</v>
      </c>
      <c r="H42" s="393">
        <v>1800000</v>
      </c>
      <c r="I42" s="393">
        <f>G42*H42*8/12</f>
        <v>10800000</v>
      </c>
      <c r="J42" s="425"/>
    </row>
    <row r="43" spans="1:11" ht="35.25" customHeight="1" x14ac:dyDescent="0.2">
      <c r="A43" s="503" t="s">
        <v>873</v>
      </c>
      <c r="B43" s="492"/>
      <c r="C43" s="492"/>
      <c r="D43" s="492"/>
      <c r="E43" s="495"/>
      <c r="F43" s="449"/>
      <c r="G43" s="500">
        <v>1</v>
      </c>
      <c r="H43" s="393">
        <v>4308000</v>
      </c>
      <c r="I43" s="393">
        <f>G43*H43*8/12</f>
        <v>2872000</v>
      </c>
      <c r="J43" s="425"/>
    </row>
    <row r="44" spans="1:11" ht="35.25" customHeight="1" x14ac:dyDescent="0.2">
      <c r="A44" s="489" t="s">
        <v>874</v>
      </c>
      <c r="B44" s="492"/>
      <c r="C44" s="492">
        <v>10</v>
      </c>
      <c r="D44" s="492">
        <v>1800000</v>
      </c>
      <c r="E44" s="492">
        <f>C44*D44*4/12</f>
        <v>6000000</v>
      </c>
      <c r="F44" s="449"/>
      <c r="G44" s="500">
        <v>9</v>
      </c>
      <c r="H44" s="393">
        <v>1800000</v>
      </c>
      <c r="I44" s="393">
        <f>G44*H44*4/12</f>
        <v>5400000</v>
      </c>
      <c r="J44" s="426"/>
    </row>
    <row r="45" spans="1:11" ht="35.25" customHeight="1" x14ac:dyDescent="0.2">
      <c r="A45" s="489" t="s">
        <v>875</v>
      </c>
      <c r="B45" s="492"/>
      <c r="C45" s="492"/>
      <c r="D45" s="492"/>
      <c r="E45" s="492"/>
      <c r="F45" s="449"/>
      <c r="G45" s="500">
        <v>1</v>
      </c>
      <c r="H45" s="393">
        <v>4308000</v>
      </c>
      <c r="I45" s="393">
        <f>G45*H45*4/12</f>
        <v>1436000</v>
      </c>
      <c r="J45" s="426"/>
    </row>
    <row r="46" spans="1:11" ht="13.5" customHeight="1" x14ac:dyDescent="0.2">
      <c r="A46" s="489" t="s">
        <v>876</v>
      </c>
      <c r="B46" s="492"/>
      <c r="C46" s="492"/>
      <c r="D46" s="492"/>
      <c r="E46" s="492"/>
      <c r="F46" s="449"/>
      <c r="G46" s="500">
        <v>1</v>
      </c>
      <c r="H46" s="393">
        <v>35000</v>
      </c>
      <c r="I46" s="393">
        <f>G46*H46</f>
        <v>35000</v>
      </c>
      <c r="J46" s="426"/>
    </row>
    <row r="47" spans="1:11" ht="13.5" customHeight="1" x14ac:dyDescent="0.2">
      <c r="A47" s="397" t="s">
        <v>877</v>
      </c>
      <c r="B47" s="492"/>
      <c r="C47" s="492"/>
      <c r="D47" s="492"/>
      <c r="E47" s="492"/>
      <c r="F47" s="449"/>
      <c r="G47" s="497"/>
      <c r="H47" s="497"/>
      <c r="I47" s="449"/>
      <c r="J47" s="425"/>
    </row>
    <row r="48" spans="1:11" ht="13.5" customHeight="1" x14ac:dyDescent="0.2">
      <c r="A48" s="489" t="s">
        <v>878</v>
      </c>
      <c r="B48" s="394"/>
      <c r="C48" s="394"/>
      <c r="D48" s="394"/>
      <c r="E48" s="394"/>
      <c r="F48" s="393"/>
      <c r="G48" s="393">
        <v>0</v>
      </c>
      <c r="H48" s="394">
        <v>80000</v>
      </c>
      <c r="I48" s="393">
        <f>G48*H48*8/12</f>
        <v>0</v>
      </c>
      <c r="J48" s="425"/>
    </row>
    <row r="49" spans="1:11" ht="13.5" customHeight="1" x14ac:dyDescent="0.2">
      <c r="A49" s="489" t="s">
        <v>879</v>
      </c>
      <c r="B49" s="394"/>
      <c r="C49" s="394">
        <v>142</v>
      </c>
      <c r="D49" s="394">
        <v>70000</v>
      </c>
      <c r="E49" s="394">
        <f>C49*D49*8/12</f>
        <v>6626666.666666667</v>
      </c>
      <c r="F49" s="393"/>
      <c r="G49" s="393">
        <v>144</v>
      </c>
      <c r="H49" s="394">
        <v>80000</v>
      </c>
      <c r="I49" s="393">
        <f>G49*H49*8/12</f>
        <v>7680000</v>
      </c>
      <c r="J49" s="425"/>
    </row>
    <row r="50" spans="1:11" ht="13.5" customHeight="1" x14ac:dyDescent="0.2">
      <c r="A50" s="489" t="s">
        <v>880</v>
      </c>
      <c r="B50" s="492"/>
      <c r="C50" s="492"/>
      <c r="D50" s="492"/>
      <c r="E50" s="492"/>
      <c r="F50" s="449"/>
      <c r="G50" s="393">
        <v>0</v>
      </c>
      <c r="H50" s="394">
        <v>80000</v>
      </c>
      <c r="I50" s="393">
        <f>G50*H50*8/12</f>
        <v>0</v>
      </c>
      <c r="J50" s="425"/>
    </row>
    <row r="51" spans="1:11" ht="39.75" customHeight="1" x14ac:dyDescent="0.2">
      <c r="A51" s="489" t="s">
        <v>881</v>
      </c>
      <c r="B51" s="492"/>
      <c r="C51" s="492">
        <v>142</v>
      </c>
      <c r="D51" s="492">
        <v>70000</v>
      </c>
      <c r="E51" s="492">
        <f>C51*D51*4/12</f>
        <v>3313333.3333333335</v>
      </c>
      <c r="F51" s="449"/>
      <c r="G51" s="393">
        <v>144</v>
      </c>
      <c r="H51" s="394">
        <v>80000</v>
      </c>
      <c r="I51" s="393">
        <f>G51*H51*4/12</f>
        <v>3840000</v>
      </c>
      <c r="J51" s="425"/>
    </row>
    <row r="52" spans="1:11" ht="50.25" customHeight="1" x14ac:dyDescent="0.2">
      <c r="A52" s="397" t="s">
        <v>882</v>
      </c>
      <c r="B52" s="492"/>
      <c r="C52" s="492"/>
      <c r="D52" s="492"/>
      <c r="E52" s="492">
        <v>0</v>
      </c>
      <c r="F52" s="449"/>
      <c r="G52" s="497"/>
      <c r="H52" s="497"/>
      <c r="I52" s="393">
        <v>740000</v>
      </c>
      <c r="J52" s="428"/>
    </row>
    <row r="53" spans="1:11" ht="13.5" customHeight="1" x14ac:dyDescent="0.2">
      <c r="A53" s="397" t="s">
        <v>883</v>
      </c>
      <c r="B53" s="394"/>
      <c r="C53" s="394"/>
      <c r="D53" s="394"/>
      <c r="E53" s="394"/>
      <c r="F53" s="393"/>
      <c r="G53" s="392"/>
      <c r="H53" s="392"/>
      <c r="I53" s="393"/>
      <c r="J53" s="425"/>
    </row>
    <row r="54" spans="1:11" ht="13.5" customHeight="1" x14ac:dyDescent="0.2">
      <c r="A54" s="489" t="s">
        <v>884</v>
      </c>
      <c r="B54" s="394"/>
      <c r="C54" s="394">
        <v>5</v>
      </c>
      <c r="D54" s="504" t="s">
        <v>307</v>
      </c>
      <c r="E54" s="394">
        <v>1760000</v>
      </c>
      <c r="F54" s="393"/>
      <c r="G54" s="393">
        <v>5</v>
      </c>
      <c r="H54" s="393">
        <v>384000</v>
      </c>
      <c r="I54" s="393">
        <f>G54*H54</f>
        <v>1920000</v>
      </c>
      <c r="J54" s="425"/>
    </row>
    <row r="55" spans="1:11" ht="13.5" customHeight="1" x14ac:dyDescent="0.2">
      <c r="A55" s="489" t="s">
        <v>885</v>
      </c>
      <c r="B55" s="492"/>
      <c r="C55" s="492"/>
      <c r="D55" s="492"/>
      <c r="E55" s="492"/>
      <c r="F55" s="449"/>
      <c r="G55" s="393">
        <v>1</v>
      </c>
      <c r="H55" s="393">
        <v>352000</v>
      </c>
      <c r="I55" s="393">
        <f>G55*H55</f>
        <v>352000</v>
      </c>
      <c r="J55" s="425"/>
    </row>
    <row r="56" spans="1:11" ht="12.75" customHeight="1" x14ac:dyDescent="0.2">
      <c r="A56" s="496"/>
      <c r="B56" s="492"/>
      <c r="C56" s="492"/>
      <c r="D56" s="492"/>
      <c r="E56" s="492"/>
      <c r="F56" s="449"/>
      <c r="G56" s="497"/>
      <c r="H56" s="497"/>
      <c r="I56" s="449"/>
      <c r="J56" s="425"/>
      <c r="K56" s="498"/>
    </row>
    <row r="57" spans="1:11" ht="13.5" customHeight="1" x14ac:dyDescent="0.2">
      <c r="A57" s="499" t="s">
        <v>85</v>
      </c>
      <c r="B57" s="492"/>
      <c r="C57" s="492"/>
      <c r="D57" s="492"/>
      <c r="E57" s="492"/>
      <c r="F57" s="449"/>
      <c r="G57" s="497"/>
      <c r="H57" s="497"/>
      <c r="I57" s="449"/>
      <c r="J57" s="425"/>
    </row>
    <row r="58" spans="1:11" ht="33.75" customHeight="1" x14ac:dyDescent="0.2">
      <c r="A58" s="496" t="s">
        <v>886</v>
      </c>
      <c r="B58" s="492"/>
      <c r="C58" s="492"/>
      <c r="D58" s="492"/>
      <c r="E58" s="492">
        <v>0</v>
      </c>
      <c r="F58" s="449"/>
      <c r="G58" s="497"/>
      <c r="H58" s="497"/>
      <c r="I58" s="449">
        <v>0</v>
      </c>
      <c r="J58" s="427"/>
    </row>
    <row r="59" spans="1:11" ht="27" customHeight="1" x14ac:dyDescent="0.2">
      <c r="A59" s="503" t="s">
        <v>887</v>
      </c>
      <c r="B59" s="492"/>
      <c r="C59" s="492"/>
      <c r="D59" s="492"/>
      <c r="E59" s="495">
        <v>0</v>
      </c>
      <c r="F59" s="449"/>
      <c r="G59" s="497"/>
      <c r="H59" s="497"/>
      <c r="I59" s="449">
        <v>0</v>
      </c>
      <c r="J59" s="425"/>
    </row>
    <row r="60" spans="1:11" ht="13.5" customHeight="1" x14ac:dyDescent="0.2">
      <c r="A60" s="397" t="s">
        <v>888</v>
      </c>
      <c r="B60" s="492"/>
      <c r="C60" s="492"/>
      <c r="D60" s="492"/>
      <c r="E60" s="492"/>
      <c r="F60" s="449"/>
      <c r="G60" s="497"/>
      <c r="H60" s="497"/>
      <c r="I60" s="449"/>
      <c r="J60" s="425"/>
    </row>
    <row r="61" spans="1:11" ht="13.5" customHeight="1" x14ac:dyDescent="0.2">
      <c r="A61" s="397" t="s">
        <v>889</v>
      </c>
      <c r="B61" s="492"/>
      <c r="C61" s="492"/>
      <c r="D61" s="492"/>
      <c r="E61" s="492"/>
      <c r="F61" s="449"/>
      <c r="G61" s="497"/>
      <c r="H61" s="497"/>
      <c r="I61" s="449"/>
      <c r="J61" s="425"/>
    </row>
    <row r="62" spans="1:11" ht="13.5" customHeight="1" x14ac:dyDescent="0.2">
      <c r="A62" s="397" t="s">
        <v>890</v>
      </c>
      <c r="B62" s="492"/>
      <c r="C62" s="492"/>
      <c r="D62" s="492"/>
      <c r="E62" s="492"/>
      <c r="F62" s="449"/>
      <c r="G62" s="497"/>
      <c r="H62" s="497"/>
      <c r="I62" s="449"/>
      <c r="J62" s="425"/>
    </row>
    <row r="63" spans="1:11" ht="28.5" customHeight="1" x14ac:dyDescent="0.2">
      <c r="A63" s="489" t="s">
        <v>891</v>
      </c>
      <c r="B63" s="496"/>
      <c r="C63" s="505"/>
      <c r="D63" s="492"/>
      <c r="E63" s="492">
        <f>C63*D63/2</f>
        <v>0</v>
      </c>
      <c r="F63" s="394">
        <v>7916</v>
      </c>
      <c r="G63" s="506"/>
      <c r="H63" s="497"/>
      <c r="I63" s="449"/>
      <c r="J63" s="427"/>
    </row>
    <row r="64" spans="1:11" ht="24.95" customHeight="1" x14ac:dyDescent="0.2">
      <c r="A64" s="503" t="s">
        <v>892</v>
      </c>
      <c r="B64" s="492"/>
      <c r="C64" s="496"/>
      <c r="D64" s="492"/>
      <c r="E64" s="492"/>
      <c r="F64" s="449"/>
      <c r="G64" s="399">
        <v>0</v>
      </c>
      <c r="H64" s="497"/>
      <c r="I64" s="449"/>
      <c r="J64" s="427"/>
    </row>
    <row r="65" spans="1:10" ht="24.95" customHeight="1" x14ac:dyDescent="0.2">
      <c r="A65" s="496" t="s">
        <v>893</v>
      </c>
      <c r="B65" s="492"/>
      <c r="C65" s="496"/>
      <c r="D65" s="492"/>
      <c r="E65" s="492"/>
      <c r="F65" s="449"/>
      <c r="G65" s="398">
        <v>1</v>
      </c>
      <c r="H65" s="497"/>
      <c r="I65" s="449"/>
      <c r="J65" s="425"/>
    </row>
    <row r="66" spans="1:10" ht="24.95" customHeight="1" x14ac:dyDescent="0.2">
      <c r="A66" s="397" t="s">
        <v>894</v>
      </c>
      <c r="B66" s="492"/>
      <c r="C66" s="507">
        <v>0.97299999999999998</v>
      </c>
      <c r="D66" s="492">
        <v>3000000</v>
      </c>
      <c r="E66" s="492"/>
      <c r="F66" s="449"/>
      <c r="G66" s="398">
        <v>2</v>
      </c>
      <c r="H66" s="394">
        <v>3000000</v>
      </c>
      <c r="I66" s="393">
        <f>(2*1+0)*3000000</f>
        <v>6000000</v>
      </c>
      <c r="J66" s="425"/>
    </row>
    <row r="67" spans="1:10" ht="13.5" customHeight="1" x14ac:dyDescent="0.2">
      <c r="A67" s="397" t="s">
        <v>895</v>
      </c>
      <c r="B67" s="508"/>
      <c r="C67" s="492">
        <v>80</v>
      </c>
      <c r="D67" s="492">
        <v>55360</v>
      </c>
      <c r="E67" s="492">
        <f>C67*D67</f>
        <v>4428800</v>
      </c>
      <c r="F67" s="449"/>
      <c r="G67" s="394">
        <v>80</v>
      </c>
      <c r="H67" s="394">
        <v>55360</v>
      </c>
      <c r="I67" s="394">
        <f>G67*H67</f>
        <v>4428800</v>
      </c>
      <c r="J67" s="425"/>
    </row>
    <row r="68" spans="1:10" ht="13.5" customHeight="1" x14ac:dyDescent="0.2">
      <c r="A68" s="397" t="s">
        <v>896</v>
      </c>
      <c r="B68" s="508"/>
      <c r="C68" s="492">
        <v>55</v>
      </c>
      <c r="D68" s="492">
        <v>145000</v>
      </c>
      <c r="E68" s="492">
        <f>C68*D68</f>
        <v>7975000</v>
      </c>
      <c r="F68" s="449"/>
      <c r="G68" s="394">
        <v>50</v>
      </c>
      <c r="H68" s="394">
        <v>145000</v>
      </c>
      <c r="I68" s="394">
        <f>G68*H68</f>
        <v>7250000</v>
      </c>
      <c r="J68" s="425"/>
    </row>
    <row r="69" spans="1:10" ht="13.5" customHeight="1" x14ac:dyDescent="0.2">
      <c r="A69" s="503" t="s">
        <v>897</v>
      </c>
      <c r="B69" s="509"/>
      <c r="C69" s="492">
        <v>23</v>
      </c>
      <c r="D69" s="492">
        <v>109000</v>
      </c>
      <c r="E69" s="492">
        <f>C69*D69</f>
        <v>2507000</v>
      </c>
      <c r="F69" s="449"/>
      <c r="G69" s="394">
        <v>23</v>
      </c>
      <c r="H69" s="394">
        <v>109000</v>
      </c>
      <c r="I69" s="394">
        <f>G69*H69</f>
        <v>2507000</v>
      </c>
      <c r="J69" s="425"/>
    </row>
    <row r="70" spans="1:10" ht="15" customHeight="1" x14ac:dyDescent="0.2">
      <c r="A70" s="489" t="s">
        <v>898</v>
      </c>
      <c r="B70" s="509"/>
      <c r="C70" s="492"/>
      <c r="D70" s="492"/>
      <c r="E70" s="492"/>
      <c r="F70" s="449"/>
      <c r="G70" s="497"/>
      <c r="H70" s="497"/>
      <c r="I70" s="449"/>
      <c r="J70" s="425"/>
    </row>
    <row r="71" spans="1:10" ht="13.5" customHeight="1" x14ac:dyDescent="0.2">
      <c r="A71" s="496" t="s">
        <v>899</v>
      </c>
      <c r="B71" s="496"/>
      <c r="C71" s="496"/>
      <c r="D71" s="449"/>
      <c r="E71" s="492"/>
      <c r="F71" s="449"/>
      <c r="G71" s="497"/>
      <c r="H71" s="497"/>
      <c r="I71" s="449"/>
      <c r="J71" s="425"/>
    </row>
    <row r="72" spans="1:10" ht="13.5" customHeight="1" x14ac:dyDescent="0.2">
      <c r="A72" s="397" t="s">
        <v>900</v>
      </c>
      <c r="B72" s="510"/>
      <c r="C72" s="492">
        <v>13</v>
      </c>
      <c r="D72" s="492">
        <v>494100</v>
      </c>
      <c r="E72" s="492">
        <f>C72*D72</f>
        <v>6423300</v>
      </c>
      <c r="F72" s="449"/>
      <c r="G72" s="394">
        <v>15</v>
      </c>
      <c r="H72" s="394">
        <v>494100</v>
      </c>
      <c r="I72" s="394">
        <f>G72*H72</f>
        <v>7411500</v>
      </c>
      <c r="J72" s="425"/>
    </row>
    <row r="73" spans="1:10" ht="13.5" customHeight="1" x14ac:dyDescent="0.2">
      <c r="A73" s="489" t="s">
        <v>901</v>
      </c>
      <c r="B73" s="508"/>
      <c r="C73" s="492"/>
      <c r="D73" s="492"/>
      <c r="E73" s="492"/>
      <c r="F73" s="449"/>
      <c r="G73" s="497"/>
      <c r="H73" s="497"/>
      <c r="I73" s="449"/>
      <c r="J73" s="425"/>
    </row>
    <row r="74" spans="1:10" ht="13.5" customHeight="1" x14ac:dyDescent="0.2">
      <c r="A74" s="489" t="s">
        <v>902</v>
      </c>
      <c r="B74" s="508"/>
      <c r="C74" s="492">
        <v>15</v>
      </c>
      <c r="D74" s="492">
        <v>2606040</v>
      </c>
      <c r="E74" s="492">
        <f>C74*D74</f>
        <v>39090600</v>
      </c>
      <c r="F74" s="449"/>
      <c r="G74" s="394">
        <v>15</v>
      </c>
      <c r="H74" s="394">
        <v>2606040</v>
      </c>
      <c r="I74" s="394">
        <f>G74*H74</f>
        <v>39090600</v>
      </c>
      <c r="J74" s="425"/>
    </row>
    <row r="75" spans="1:10" ht="24.95" customHeight="1" x14ac:dyDescent="0.2">
      <c r="A75" s="397" t="s">
        <v>903</v>
      </c>
      <c r="B75" s="508"/>
      <c r="C75" s="492"/>
      <c r="D75" s="492"/>
      <c r="E75" s="495">
        <v>37834000</v>
      </c>
      <c r="F75" s="449"/>
      <c r="G75" s="497"/>
      <c r="H75" s="497"/>
      <c r="I75" s="393">
        <v>31081000</v>
      </c>
      <c r="J75" s="429"/>
    </row>
    <row r="76" spans="1:10" ht="15" customHeight="1" x14ac:dyDescent="0.2">
      <c r="A76" s="397" t="s">
        <v>904</v>
      </c>
      <c r="B76" s="508"/>
      <c r="C76" s="492"/>
      <c r="D76" s="492"/>
      <c r="E76" s="492"/>
      <c r="F76" s="449"/>
      <c r="G76" s="497"/>
      <c r="H76" s="497"/>
      <c r="I76" s="449"/>
      <c r="J76" s="425"/>
    </row>
    <row r="77" spans="1:10" ht="34.5" customHeight="1" x14ac:dyDescent="0.2">
      <c r="A77" s="397" t="s">
        <v>905</v>
      </c>
      <c r="B77" s="492"/>
      <c r="C77" s="501">
        <v>12.33</v>
      </c>
      <c r="D77" s="492">
        <v>1632000</v>
      </c>
      <c r="E77" s="492">
        <f>C77*D77</f>
        <v>20122560</v>
      </c>
      <c r="F77" s="449"/>
      <c r="G77" s="395">
        <v>13.81</v>
      </c>
      <c r="H77" s="394">
        <v>1632000</v>
      </c>
      <c r="I77" s="394">
        <f>G77*H77</f>
        <v>22537920</v>
      </c>
      <c r="J77" s="430"/>
    </row>
    <row r="78" spans="1:10" ht="13.5" customHeight="1" x14ac:dyDescent="0.2">
      <c r="A78" s="397" t="s">
        <v>906</v>
      </c>
      <c r="B78" s="492"/>
      <c r="C78" s="492"/>
      <c r="D78" s="492"/>
      <c r="E78" s="495">
        <v>7038795</v>
      </c>
      <c r="F78" s="449"/>
      <c r="G78" s="497"/>
      <c r="H78" s="497"/>
      <c r="I78" s="393">
        <v>10352656</v>
      </c>
      <c r="J78" s="431"/>
    </row>
    <row r="79" spans="1:10" ht="13.5" customHeight="1" x14ac:dyDescent="0.2">
      <c r="A79" s="489" t="s">
        <v>907</v>
      </c>
      <c r="B79" s="492"/>
      <c r="C79" s="492"/>
      <c r="D79" s="492"/>
      <c r="E79" s="495"/>
      <c r="F79" s="449"/>
      <c r="G79" s="393">
        <v>280</v>
      </c>
      <c r="H79" s="393">
        <v>285</v>
      </c>
      <c r="I79" s="393">
        <f>G79*H79</f>
        <v>79800</v>
      </c>
      <c r="J79" s="425"/>
    </row>
    <row r="80" spans="1:10" ht="31.5" customHeight="1" x14ac:dyDescent="0.2">
      <c r="A80" s="397" t="s">
        <v>908</v>
      </c>
      <c r="B80" s="492"/>
      <c r="C80" s="492"/>
      <c r="D80" s="492"/>
      <c r="E80" s="495">
        <v>0</v>
      </c>
      <c r="F80" s="449"/>
      <c r="G80" s="497"/>
      <c r="H80" s="497"/>
      <c r="I80" s="393">
        <v>0</v>
      </c>
      <c r="J80" s="425"/>
    </row>
    <row r="81" spans="1:256" ht="28.5" customHeight="1" x14ac:dyDescent="0.2">
      <c r="A81" s="496"/>
      <c r="B81" s="492"/>
      <c r="C81" s="492"/>
      <c r="D81" s="492"/>
      <c r="E81" s="511"/>
      <c r="F81" s="449"/>
      <c r="G81" s="497"/>
      <c r="H81" s="497"/>
      <c r="I81" s="449"/>
      <c r="J81" s="425"/>
      <c r="K81" s="498"/>
    </row>
    <row r="82" spans="1:256" ht="13.5" customHeight="1" x14ac:dyDescent="0.2">
      <c r="A82" s="499" t="s">
        <v>909</v>
      </c>
      <c r="B82" s="492"/>
      <c r="C82" s="492"/>
      <c r="D82" s="492"/>
      <c r="E82" s="511"/>
      <c r="F82" s="449"/>
      <c r="G82" s="497"/>
      <c r="H82" s="497"/>
      <c r="I82" s="449"/>
      <c r="J82" s="425"/>
    </row>
    <row r="83" spans="1:256" ht="13.5" customHeight="1" x14ac:dyDescent="0.2">
      <c r="A83" s="397" t="s">
        <v>910</v>
      </c>
      <c r="B83" s="492"/>
      <c r="C83" s="492"/>
      <c r="D83" s="492"/>
      <c r="E83" s="511"/>
      <c r="F83" s="449"/>
      <c r="G83" s="497"/>
      <c r="H83" s="497"/>
      <c r="I83" s="449"/>
      <c r="J83" s="425"/>
    </row>
    <row r="84" spans="1:256" ht="13.5" customHeight="1" x14ac:dyDescent="0.2">
      <c r="A84" s="397" t="s">
        <v>911</v>
      </c>
      <c r="B84" s="492"/>
      <c r="C84" s="492">
        <v>4865</v>
      </c>
      <c r="D84" s="492">
        <v>1140</v>
      </c>
      <c r="E84" s="512"/>
      <c r="F84" s="449"/>
      <c r="G84" s="394">
        <v>4837</v>
      </c>
      <c r="H84" s="394">
        <v>1140</v>
      </c>
      <c r="I84" s="207">
        <f>G84*H84</f>
        <v>5514180</v>
      </c>
      <c r="J84" s="425"/>
    </row>
    <row r="85" spans="1:256" ht="30" customHeight="1" x14ac:dyDescent="0.2">
      <c r="A85" s="489" t="s">
        <v>912</v>
      </c>
      <c r="B85" s="492"/>
      <c r="C85" s="492"/>
      <c r="D85" s="492"/>
      <c r="E85" s="512"/>
      <c r="F85" s="449"/>
      <c r="G85" s="492"/>
      <c r="H85" s="492"/>
      <c r="I85" s="207">
        <v>0</v>
      </c>
      <c r="J85" s="425"/>
    </row>
    <row r="86" spans="1:256" ht="13.5" customHeight="1" x14ac:dyDescent="0.2">
      <c r="A86" s="503"/>
      <c r="B86" s="508"/>
      <c r="C86" s="492"/>
      <c r="D86" s="506"/>
      <c r="E86" s="492"/>
      <c r="F86" s="449"/>
      <c r="G86" s="497"/>
      <c r="H86" s="497"/>
      <c r="I86" s="449"/>
      <c r="J86" s="425"/>
      <c r="K86" s="498"/>
    </row>
    <row r="87" spans="1:256" ht="25.5" customHeight="1" x14ac:dyDescent="0.2">
      <c r="A87" s="513" t="s">
        <v>913</v>
      </c>
      <c r="B87" s="508"/>
      <c r="C87" s="514"/>
      <c r="D87" s="492"/>
      <c r="E87" s="495"/>
      <c r="F87" s="508"/>
      <c r="G87" s="497"/>
      <c r="H87" s="497"/>
      <c r="I87" s="449"/>
      <c r="J87" s="425"/>
      <c r="K87" s="498"/>
      <c r="L87" s="498"/>
      <c r="N87" s="206"/>
    </row>
    <row r="88" spans="1:256" ht="13.5" customHeight="1" thickBot="1" x14ac:dyDescent="0.25">
      <c r="A88" s="515"/>
      <c r="B88" s="516"/>
      <c r="C88" s="517"/>
      <c r="D88" s="518"/>
      <c r="E88" s="517"/>
      <c r="F88" s="519"/>
      <c r="G88" s="520"/>
      <c r="H88" s="520"/>
      <c r="I88" s="519"/>
      <c r="J88" s="425"/>
    </row>
    <row r="89" spans="1:256" ht="11.25" customHeight="1" thickBot="1" x14ac:dyDescent="0.25">
      <c r="A89" s="521" t="s">
        <v>914</v>
      </c>
      <c r="B89" s="522"/>
      <c r="C89" s="522"/>
      <c r="D89" s="523"/>
      <c r="E89" s="524">
        <f>E12+E14+E17+E20+E23+E28+E31+E34+E39+E40+E41+E42+E44+E49+E51+E54+E58+E59+E63+E64+E67+E68+E69+E72+E74+E75+E77+E78</f>
        <v>987821085</v>
      </c>
      <c r="F89" s="1251">
        <f>I12+I16+I19+I22+I25+I28+I31+I34+I35+I39+I40+I41+I42+I44+I49+I50+I51+I52+I54+I58+I59+I66+I67+I68+I69+I72+I74+I75+I77+I78+I79+I80+I84+I45+I46+I43+I55</f>
        <v>992732374</v>
      </c>
      <c r="G89" s="1251"/>
      <c r="H89" s="1251"/>
      <c r="I89" s="1252"/>
      <c r="J89" s="7"/>
      <c r="K89" s="525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35"/>
      <c r="B91" s="135"/>
      <c r="C91" s="135"/>
      <c r="D91" s="135"/>
      <c r="E91" s="139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4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40"/>
  <sheetViews>
    <sheetView workbookViewId="0">
      <selection activeCell="J7" sqref="J7:N8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172" customWidth="1"/>
    <col min="6" max="6" width="15.140625" style="3" customWidth="1"/>
    <col min="7" max="7" width="0" style="172" hidden="1" customWidth="1"/>
    <col min="8" max="8" width="0" style="215" hidden="1" customWidth="1"/>
    <col min="9" max="9" width="10.28515625" style="172" hidden="1" customWidth="1"/>
    <col min="10" max="16384" width="9.140625" style="4"/>
  </cols>
  <sheetData>
    <row r="1" spans="1:14" ht="27.75" customHeight="1" x14ac:dyDescent="0.2">
      <c r="A1" s="1264" t="s">
        <v>1295</v>
      </c>
      <c r="B1" s="1264"/>
      <c r="C1" s="1264"/>
      <c r="D1" s="1264"/>
      <c r="E1" s="1264"/>
      <c r="F1" s="1264"/>
      <c r="G1" s="1264"/>
      <c r="H1" s="1264"/>
      <c r="I1" s="1264"/>
      <c r="J1" s="1264"/>
      <c r="K1" s="1264"/>
      <c r="L1" s="1264"/>
      <c r="M1" s="1264"/>
      <c r="N1" s="1264"/>
    </row>
    <row r="3" spans="1:14" ht="15" customHeight="1" x14ac:dyDescent="0.2">
      <c r="B3" s="1268" t="s">
        <v>78</v>
      </c>
      <c r="C3" s="1268"/>
      <c r="D3" s="1268"/>
      <c r="E3" s="1268"/>
      <c r="F3" s="1268"/>
      <c r="G3" s="1269"/>
      <c r="H3" s="1269"/>
      <c r="I3" s="1269"/>
    </row>
    <row r="4" spans="1:14" ht="15" customHeight="1" x14ac:dyDescent="0.2">
      <c r="B4" s="1274" t="s">
        <v>1101</v>
      </c>
      <c r="C4" s="1274"/>
      <c r="D4" s="1274"/>
      <c r="E4" s="1274"/>
      <c r="F4" s="1274"/>
      <c r="G4" s="4"/>
      <c r="H4" s="4"/>
      <c r="I4" s="4"/>
    </row>
    <row r="5" spans="1:14" ht="15" customHeight="1" x14ac:dyDescent="0.2">
      <c r="B5" s="1268"/>
      <c r="C5" s="1268"/>
      <c r="D5" s="1268"/>
      <c r="E5" s="1268"/>
    </row>
    <row r="6" spans="1:14" ht="15" customHeight="1" x14ac:dyDescent="0.2">
      <c r="B6" s="1270" t="s">
        <v>311</v>
      </c>
      <c r="C6" s="1271"/>
      <c r="D6" s="1272"/>
      <c r="E6" s="1272"/>
      <c r="F6" s="1272"/>
      <c r="G6" s="1272"/>
      <c r="H6" s="1272"/>
      <c r="I6" s="1272"/>
    </row>
    <row r="7" spans="1:14" ht="48.75" customHeight="1" x14ac:dyDescent="0.2">
      <c r="B7" s="1275" t="s">
        <v>86</v>
      </c>
      <c r="C7" s="1277" t="s">
        <v>1162</v>
      </c>
      <c r="D7" s="1266" t="s">
        <v>1163</v>
      </c>
      <c r="E7" s="1267"/>
      <c r="F7" s="1267"/>
      <c r="G7" s="1267" t="s">
        <v>585</v>
      </c>
      <c r="H7" s="1267"/>
      <c r="I7" s="1273"/>
      <c r="J7" s="1230" t="s">
        <v>1294</v>
      </c>
      <c r="K7" s="1230"/>
      <c r="L7" s="1230" t="s">
        <v>1292</v>
      </c>
      <c r="M7" s="1230"/>
      <c r="N7" s="1230"/>
    </row>
    <row r="8" spans="1:14" ht="35.450000000000003" customHeight="1" x14ac:dyDescent="0.2">
      <c r="B8" s="1276"/>
      <c r="C8" s="1278"/>
      <c r="D8" s="788" t="s">
        <v>62</v>
      </c>
      <c r="E8" s="164" t="s">
        <v>63</v>
      </c>
      <c r="F8" s="164" t="s">
        <v>1164</v>
      </c>
      <c r="G8" s="4"/>
      <c r="H8" s="4"/>
      <c r="I8" s="4"/>
      <c r="J8" s="757" t="s">
        <v>62</v>
      </c>
      <c r="K8" s="757" t="s">
        <v>63</v>
      </c>
      <c r="L8" s="757" t="s">
        <v>62</v>
      </c>
      <c r="M8" s="757" t="s">
        <v>63</v>
      </c>
      <c r="N8" s="757" t="s">
        <v>64</v>
      </c>
    </row>
    <row r="9" spans="1:14" ht="15.95" customHeight="1" x14ac:dyDescent="0.2">
      <c r="B9" s="165" t="s">
        <v>597</v>
      </c>
      <c r="C9" s="166"/>
      <c r="D9" s="167"/>
      <c r="E9" s="168"/>
      <c r="F9" s="350"/>
      <c r="G9" s="4"/>
      <c r="H9" s="4"/>
      <c r="I9" s="4"/>
      <c r="J9" s="433"/>
    </row>
    <row r="10" spans="1:14" ht="36" customHeight="1" x14ac:dyDescent="0.2">
      <c r="B10" s="789" t="s">
        <v>598</v>
      </c>
      <c r="C10" s="790" t="s">
        <v>582</v>
      </c>
      <c r="D10" s="791">
        <v>125390</v>
      </c>
      <c r="E10" s="791">
        <v>98610</v>
      </c>
      <c r="F10" s="791">
        <f>SUM(D10:E10)</f>
        <v>224000</v>
      </c>
      <c r="G10" s="787"/>
      <c r="H10" s="787"/>
      <c r="I10" s="787"/>
      <c r="J10" s="787"/>
      <c r="K10" s="787"/>
      <c r="L10" s="787"/>
      <c r="M10" s="787"/>
      <c r="N10" s="787"/>
    </row>
    <row r="11" spans="1:14" ht="23.25" customHeight="1" x14ac:dyDescent="0.2">
      <c r="B11" s="789" t="s">
        <v>599</v>
      </c>
      <c r="C11" s="789" t="s">
        <v>300</v>
      </c>
      <c r="D11" s="791">
        <v>186773</v>
      </c>
      <c r="E11" s="791">
        <v>362227</v>
      </c>
      <c r="F11" s="791">
        <f>SUM(D11:E11)</f>
        <v>549000</v>
      </c>
      <c r="G11" s="787"/>
      <c r="H11" s="787"/>
      <c r="I11" s="787"/>
      <c r="J11" s="792"/>
      <c r="K11" s="787"/>
      <c r="L11" s="787"/>
      <c r="M11" s="787"/>
      <c r="N11" s="787"/>
    </row>
    <row r="12" spans="1:14" ht="22.5" customHeight="1" thickBot="1" x14ac:dyDescent="0.25">
      <c r="B12" s="802" t="s">
        <v>600</v>
      </c>
      <c r="C12" s="803" t="s">
        <v>601</v>
      </c>
      <c r="D12" s="804">
        <v>144919</v>
      </c>
      <c r="E12" s="804">
        <v>286081</v>
      </c>
      <c r="F12" s="804">
        <f>SUM(D12:E12)</f>
        <v>431000</v>
      </c>
      <c r="G12" s="805"/>
      <c r="H12" s="805"/>
      <c r="I12" s="805"/>
      <c r="J12" s="805"/>
      <c r="K12" s="805"/>
      <c r="L12" s="805"/>
      <c r="M12" s="805"/>
      <c r="N12" s="805"/>
    </row>
    <row r="13" spans="1:14" ht="23.25" customHeight="1" thickBot="1" x14ac:dyDescent="0.25">
      <c r="B13" s="808" t="s">
        <v>602</v>
      </c>
      <c r="C13" s="809"/>
      <c r="D13" s="810">
        <f>SUM(D10:D12)</f>
        <v>457082</v>
      </c>
      <c r="E13" s="810">
        <f>SUM(E10:E12)</f>
        <v>746918</v>
      </c>
      <c r="F13" s="810">
        <f>SUM(D13:E13)</f>
        <v>1204000</v>
      </c>
      <c r="G13" s="811"/>
      <c r="H13" s="811"/>
      <c r="I13" s="811"/>
      <c r="J13" s="811"/>
      <c r="K13" s="811"/>
      <c r="L13" s="811"/>
      <c r="M13" s="811"/>
      <c r="N13" s="812"/>
    </row>
    <row r="14" spans="1:14" ht="15.95" customHeight="1" thickBot="1" x14ac:dyDescent="0.25">
      <c r="B14" s="178"/>
      <c r="C14" s="813"/>
      <c r="D14" s="814"/>
      <c r="E14" s="814"/>
      <c r="F14" s="814">
        <f t="shared" ref="F14:F30" si="0">SUM(D14:E14)</f>
        <v>0</v>
      </c>
      <c r="G14" s="815"/>
      <c r="H14" s="815"/>
      <c r="I14" s="815"/>
      <c r="J14" s="815"/>
      <c r="K14" s="815"/>
      <c r="L14" s="815"/>
      <c r="M14" s="815"/>
      <c r="N14" s="815"/>
    </row>
    <row r="15" spans="1:14" s="222" customFormat="1" ht="45.75" customHeight="1" thickBot="1" x14ac:dyDescent="0.25">
      <c r="B15" s="818" t="s">
        <v>603</v>
      </c>
      <c r="C15" s="819"/>
      <c r="D15" s="820">
        <v>4500</v>
      </c>
      <c r="E15" s="820"/>
      <c r="F15" s="820">
        <f>D15+E15</f>
        <v>4500</v>
      </c>
      <c r="G15" s="821"/>
      <c r="H15" s="821"/>
      <c r="I15" s="821"/>
      <c r="J15" s="821"/>
      <c r="K15" s="821"/>
      <c r="L15" s="821"/>
      <c r="M15" s="821"/>
      <c r="N15" s="822"/>
    </row>
    <row r="16" spans="1:14" ht="15.95" customHeight="1" x14ac:dyDescent="0.2">
      <c r="B16" s="816"/>
      <c r="C16" s="817"/>
      <c r="D16" s="806"/>
      <c r="E16" s="806"/>
      <c r="F16" s="806">
        <f t="shared" si="0"/>
        <v>0</v>
      </c>
      <c r="G16" s="807"/>
      <c r="H16" s="807"/>
      <c r="I16" s="807"/>
      <c r="J16" s="807"/>
      <c r="K16" s="807"/>
      <c r="L16" s="807"/>
      <c r="M16" s="807"/>
      <c r="N16" s="807"/>
    </row>
    <row r="17" spans="2:14" ht="15.95" customHeight="1" x14ac:dyDescent="0.2">
      <c r="B17" s="1265" t="s">
        <v>604</v>
      </c>
      <c r="C17" s="1265"/>
      <c r="D17" s="795"/>
      <c r="E17" s="795"/>
      <c r="F17" s="795">
        <f t="shared" si="0"/>
        <v>0</v>
      </c>
      <c r="G17" s="787"/>
      <c r="H17" s="787"/>
      <c r="I17" s="787"/>
      <c r="J17" s="787"/>
      <c r="K17" s="787"/>
      <c r="L17" s="787"/>
      <c r="M17" s="787"/>
      <c r="N17" s="787"/>
    </row>
    <row r="18" spans="2:14" ht="15.95" customHeight="1" x14ac:dyDescent="0.2">
      <c r="B18" s="793"/>
      <c r="C18" s="794"/>
      <c r="D18" s="795"/>
      <c r="E18" s="795"/>
      <c r="F18" s="795">
        <f t="shared" si="0"/>
        <v>0</v>
      </c>
      <c r="G18" s="787"/>
      <c r="H18" s="787"/>
      <c r="I18" s="787"/>
      <c r="J18" s="787"/>
      <c r="K18" s="787"/>
      <c r="L18" s="787"/>
      <c r="M18" s="787"/>
      <c r="N18" s="787"/>
    </row>
    <row r="19" spans="2:14" ht="28.5" customHeight="1" x14ac:dyDescent="0.2">
      <c r="B19" s="798"/>
      <c r="C19" s="799"/>
      <c r="D19" s="795"/>
      <c r="E19" s="795"/>
      <c r="F19" s="795">
        <f t="shared" si="0"/>
        <v>0</v>
      </c>
      <c r="G19" s="787"/>
      <c r="H19" s="787"/>
      <c r="I19" s="787"/>
      <c r="J19" s="787"/>
      <c r="K19" s="787"/>
      <c r="L19" s="787"/>
      <c r="M19" s="787"/>
      <c r="N19" s="787"/>
    </row>
    <row r="20" spans="2:14" ht="78.75" customHeight="1" thickBot="1" x14ac:dyDescent="0.25">
      <c r="B20" s="828" t="s">
        <v>605</v>
      </c>
      <c r="C20" s="829" t="s">
        <v>606</v>
      </c>
      <c r="D20" s="825">
        <v>17000</v>
      </c>
      <c r="E20" s="825"/>
      <c r="F20" s="825">
        <f t="shared" si="0"/>
        <v>17000</v>
      </c>
      <c r="G20" s="805"/>
      <c r="H20" s="805"/>
      <c r="I20" s="805"/>
      <c r="J20" s="805"/>
      <c r="K20" s="805"/>
      <c r="L20" s="805"/>
      <c r="M20" s="805"/>
      <c r="N20" s="805"/>
    </row>
    <row r="21" spans="2:14" s="4" customFormat="1" ht="15.95" customHeight="1" thickBot="1" x14ac:dyDescent="0.25">
      <c r="B21" s="826" t="s">
        <v>607</v>
      </c>
      <c r="C21" s="827"/>
      <c r="D21" s="820">
        <f>SUM(D18:D20)</f>
        <v>17000</v>
      </c>
      <c r="E21" s="820"/>
      <c r="F21" s="820">
        <f t="shared" si="0"/>
        <v>17000</v>
      </c>
      <c r="G21" s="811"/>
      <c r="H21" s="811"/>
      <c r="I21" s="811"/>
      <c r="J21" s="811"/>
      <c r="K21" s="811"/>
      <c r="L21" s="811"/>
      <c r="M21" s="811"/>
      <c r="N21" s="812"/>
    </row>
    <row r="22" spans="2:14" s="4" customFormat="1" ht="15.95" customHeight="1" x14ac:dyDescent="0.2">
      <c r="B22" s="816"/>
      <c r="C22" s="817"/>
      <c r="D22" s="806"/>
      <c r="E22" s="806"/>
      <c r="F22" s="806">
        <f t="shared" si="0"/>
        <v>0</v>
      </c>
      <c r="G22" s="807"/>
      <c r="H22" s="807"/>
      <c r="I22" s="807"/>
      <c r="J22" s="807"/>
      <c r="K22" s="807"/>
      <c r="L22" s="807"/>
      <c r="M22" s="807"/>
      <c r="N22" s="807"/>
    </row>
    <row r="23" spans="2:14" s="4" customFormat="1" ht="15.95" customHeight="1" x14ac:dyDescent="0.2">
      <c r="B23" s="800" t="s">
        <v>608</v>
      </c>
      <c r="C23" s="797"/>
      <c r="D23" s="795"/>
      <c r="E23" s="795"/>
      <c r="F23" s="795">
        <f t="shared" si="0"/>
        <v>0</v>
      </c>
      <c r="G23" s="787"/>
      <c r="H23" s="787"/>
      <c r="I23" s="787"/>
      <c r="J23" s="787"/>
      <c r="K23" s="787"/>
      <c r="L23" s="787"/>
      <c r="M23" s="787"/>
      <c r="N23" s="787"/>
    </row>
    <row r="24" spans="2:14" s="4" customFormat="1" ht="15.95" customHeight="1" x14ac:dyDescent="0.2">
      <c r="B24" s="793" t="s">
        <v>609</v>
      </c>
      <c r="C24" s="797"/>
      <c r="D24" s="795"/>
      <c r="E24" s="795"/>
      <c r="F24" s="795">
        <f t="shared" si="0"/>
        <v>0</v>
      </c>
      <c r="G24" s="787"/>
      <c r="H24" s="787"/>
      <c r="I24" s="787"/>
      <c r="J24" s="787"/>
      <c r="K24" s="787"/>
      <c r="L24" s="787"/>
      <c r="M24" s="787"/>
      <c r="N24" s="787"/>
    </row>
    <row r="25" spans="2:14" s="222" customFormat="1" ht="15.95" customHeight="1" x14ac:dyDescent="0.2">
      <c r="B25" s="787" t="s">
        <v>111</v>
      </c>
      <c r="C25" s="801"/>
      <c r="D25" s="795">
        <v>820</v>
      </c>
      <c r="E25" s="795"/>
      <c r="F25" s="795">
        <f t="shared" si="0"/>
        <v>820</v>
      </c>
      <c r="G25" s="787"/>
      <c r="H25" s="796"/>
      <c r="I25" s="796"/>
      <c r="J25" s="796"/>
      <c r="K25" s="796"/>
      <c r="L25" s="796"/>
      <c r="M25" s="796"/>
      <c r="N25" s="796"/>
    </row>
    <row r="26" spans="2:14" s="222" customFormat="1" ht="15.95" customHeight="1" x14ac:dyDescent="0.2">
      <c r="B26" s="787" t="s">
        <v>568</v>
      </c>
      <c r="C26" s="801"/>
      <c r="D26" s="795">
        <v>9000</v>
      </c>
      <c r="E26" s="795"/>
      <c r="F26" s="795">
        <f>SUM(D26:E26)</f>
        <v>9000</v>
      </c>
      <c r="G26" s="787"/>
      <c r="H26" s="796"/>
      <c r="I26" s="796"/>
      <c r="J26" s="796"/>
      <c r="K26" s="796"/>
      <c r="L26" s="796"/>
      <c r="M26" s="796"/>
      <c r="N26" s="796"/>
    </row>
    <row r="27" spans="2:14" s="4" customFormat="1" ht="15.95" customHeight="1" x14ac:dyDescent="0.2">
      <c r="B27" s="793" t="s">
        <v>610</v>
      </c>
      <c r="C27" s="797"/>
      <c r="D27" s="795">
        <v>84</v>
      </c>
      <c r="E27" s="795"/>
      <c r="F27" s="795">
        <f t="shared" si="0"/>
        <v>84</v>
      </c>
      <c r="G27" s="787"/>
      <c r="H27" s="787"/>
      <c r="I27" s="787"/>
      <c r="J27" s="787"/>
      <c r="K27" s="787"/>
      <c r="L27" s="787"/>
      <c r="M27" s="787"/>
      <c r="N27" s="787"/>
    </row>
    <row r="28" spans="2:14" s="4" customFormat="1" ht="15.95" customHeight="1" thickBot="1" x14ac:dyDescent="0.25">
      <c r="B28" s="823" t="s">
        <v>611</v>
      </c>
      <c r="C28" s="824"/>
      <c r="D28" s="825"/>
      <c r="E28" s="825"/>
      <c r="F28" s="825">
        <f t="shared" si="0"/>
        <v>0</v>
      </c>
      <c r="G28" s="805"/>
      <c r="H28" s="805"/>
      <c r="I28" s="805"/>
      <c r="J28" s="805"/>
      <c r="K28" s="805"/>
      <c r="L28" s="805"/>
      <c r="M28" s="805"/>
      <c r="N28" s="805"/>
    </row>
    <row r="29" spans="2:14" s="4" customFormat="1" ht="15.95" customHeight="1" thickBot="1" x14ac:dyDescent="0.25">
      <c r="B29" s="826" t="s">
        <v>612</v>
      </c>
      <c r="C29" s="827"/>
      <c r="D29" s="820">
        <f>SUM(D24:D28)</f>
        <v>9904</v>
      </c>
      <c r="E29" s="820">
        <f>SUM(E24:E28)</f>
        <v>0</v>
      </c>
      <c r="F29" s="820">
        <f t="shared" si="0"/>
        <v>9904</v>
      </c>
      <c r="G29" s="811"/>
      <c r="H29" s="811"/>
      <c r="I29" s="811"/>
      <c r="J29" s="811"/>
      <c r="K29" s="811"/>
      <c r="L29" s="811"/>
      <c r="M29" s="811"/>
      <c r="N29" s="812"/>
    </row>
    <row r="30" spans="2:14" s="4" customFormat="1" ht="15.95" customHeight="1" thickBot="1" x14ac:dyDescent="0.25">
      <c r="B30" s="830"/>
      <c r="C30" s="831"/>
      <c r="D30" s="814"/>
      <c r="E30" s="814"/>
      <c r="F30" s="814">
        <f t="shared" si="0"/>
        <v>0</v>
      </c>
      <c r="G30" s="815"/>
      <c r="H30" s="815"/>
      <c r="I30" s="815"/>
      <c r="J30" s="815"/>
      <c r="K30" s="815"/>
      <c r="L30" s="815"/>
      <c r="M30" s="815"/>
      <c r="N30" s="815"/>
    </row>
    <row r="31" spans="2:14" s="4" customFormat="1" ht="15.95" customHeight="1" thickBot="1" x14ac:dyDescent="0.25">
      <c r="B31" s="826" t="s">
        <v>613</v>
      </c>
      <c r="C31" s="832"/>
      <c r="D31" s="833">
        <f>D13+D15+D21+D29</f>
        <v>488486</v>
      </c>
      <c r="E31" s="833">
        <f>E13+E15+E21+E29</f>
        <v>746918</v>
      </c>
      <c r="F31" s="833">
        <f>SUM(D31:E31)</f>
        <v>1235404</v>
      </c>
      <c r="G31" s="811"/>
      <c r="H31" s="811"/>
      <c r="I31" s="811"/>
      <c r="J31" s="811"/>
      <c r="K31" s="811"/>
      <c r="L31" s="811"/>
      <c r="M31" s="811"/>
      <c r="N31" s="812"/>
    </row>
    <row r="32" spans="2:14" s="4" customFormat="1" ht="15.95" customHeight="1" x14ac:dyDescent="0.2">
      <c r="B32" s="3"/>
      <c r="C32" s="3"/>
      <c r="D32" s="3"/>
      <c r="E32" s="172"/>
      <c r="F32" s="3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  <row r="40" spans="1:9" x14ac:dyDescent="0.2">
      <c r="A40" s="4"/>
      <c r="B40" s="4"/>
      <c r="C40" s="4"/>
      <c r="D40" s="4"/>
      <c r="E40" s="4"/>
      <c r="F40" s="4"/>
      <c r="G40" s="4"/>
      <c r="H40" s="4"/>
      <c r="I40" s="4"/>
    </row>
  </sheetData>
  <sheetProtection selectLockedCells="1" selectUnlockedCells="1"/>
  <mergeCells count="12">
    <mergeCell ref="J7:K7"/>
    <mergeCell ref="L7:N7"/>
    <mergeCell ref="A1:N1"/>
    <mergeCell ref="B17:C17"/>
    <mergeCell ref="D7:F7"/>
    <mergeCell ref="B5:E5"/>
    <mergeCell ref="B3:I3"/>
    <mergeCell ref="B6:I6"/>
    <mergeCell ref="G7:I7"/>
    <mergeCell ref="B4:F4"/>
    <mergeCell ref="B7:B8"/>
    <mergeCell ref="C7:C8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scale="81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98"/>
  <sheetViews>
    <sheetView topLeftCell="C55" zoomScale="200" zoomScaleNormal="200" workbookViewId="0">
      <selection activeCell="L65" sqref="L65"/>
    </sheetView>
  </sheetViews>
  <sheetFormatPr defaultColWidth="9.140625" defaultRowHeight="11.25" x14ac:dyDescent="0.2"/>
  <cols>
    <col min="1" max="1" width="4.85546875" style="123" customWidth="1"/>
    <col min="2" max="2" width="57.5703125" style="140" customWidth="1"/>
    <col min="3" max="3" width="8.7109375" style="120" customWidth="1"/>
    <col min="4" max="4" width="9.5703125" style="120" customWidth="1"/>
    <col min="5" max="5" width="8.28515625" style="120" customWidth="1"/>
    <col min="6" max="16384" width="9.140625" style="8"/>
  </cols>
  <sheetData>
    <row r="1" spans="1:10" x14ac:dyDescent="0.2">
      <c r="B1" s="1279" t="s">
        <v>1285</v>
      </c>
      <c r="C1" s="1279"/>
      <c r="D1" s="1279"/>
      <c r="E1" s="1279"/>
    </row>
    <row r="2" spans="1:10" x14ac:dyDescent="0.2">
      <c r="B2" s="141"/>
    </row>
    <row r="3" spans="1:10" x14ac:dyDescent="0.2">
      <c r="A3" s="1284" t="s">
        <v>54</v>
      </c>
      <c r="B3" s="1284"/>
      <c r="C3" s="1284"/>
      <c r="D3" s="1284"/>
      <c r="E3" s="1284"/>
    </row>
    <row r="4" spans="1:10" ht="11.25" customHeight="1" x14ac:dyDescent="0.2">
      <c r="A4" s="1284" t="s">
        <v>1135</v>
      </c>
      <c r="B4" s="1284"/>
      <c r="C4" s="1284"/>
      <c r="D4" s="1284"/>
      <c r="E4" s="1284"/>
    </row>
    <row r="5" spans="1:10" x14ac:dyDescent="0.2">
      <c r="A5" s="1284" t="s">
        <v>1282</v>
      </c>
      <c r="B5" s="1284"/>
      <c r="C5" s="1284"/>
      <c r="D5" s="1284"/>
      <c r="E5" s="1284"/>
    </row>
    <row r="6" spans="1:10" ht="12.75" x14ac:dyDescent="0.2">
      <c r="B6" s="1285" t="s">
        <v>311</v>
      </c>
      <c r="C6" s="1286"/>
      <c r="D6" s="1286"/>
      <c r="E6" s="1286"/>
    </row>
    <row r="7" spans="1:10" ht="24" customHeight="1" x14ac:dyDescent="0.2">
      <c r="A7" s="1287" t="s">
        <v>77</v>
      </c>
      <c r="B7" s="1280" t="s">
        <v>86</v>
      </c>
      <c r="C7" s="1282" t="s">
        <v>1165</v>
      </c>
      <c r="D7" s="1282"/>
      <c r="E7" s="1283"/>
      <c r="F7" s="1230" t="s">
        <v>1294</v>
      </c>
      <c r="G7" s="1230"/>
      <c r="H7" s="1230" t="s">
        <v>1292</v>
      </c>
      <c r="I7" s="1230"/>
      <c r="J7" s="1230"/>
    </row>
    <row r="8" spans="1:10" ht="21" x14ac:dyDescent="0.2">
      <c r="A8" s="1287"/>
      <c r="B8" s="1281"/>
      <c r="C8" s="598" t="s">
        <v>62</v>
      </c>
      <c r="D8" s="598" t="s">
        <v>63</v>
      </c>
      <c r="E8" s="834" t="s">
        <v>64</v>
      </c>
      <c r="F8" s="757" t="s">
        <v>62</v>
      </c>
      <c r="G8" s="757" t="s">
        <v>63</v>
      </c>
      <c r="H8" s="757" t="s">
        <v>62</v>
      </c>
      <c r="I8" s="757" t="s">
        <v>63</v>
      </c>
      <c r="J8" s="757" t="s">
        <v>64</v>
      </c>
    </row>
    <row r="9" spans="1:10" x14ac:dyDescent="0.2">
      <c r="A9" s="714" t="s">
        <v>494</v>
      </c>
      <c r="B9" s="835" t="s">
        <v>87</v>
      </c>
      <c r="C9" s="723"/>
      <c r="D9" s="723"/>
      <c r="E9" s="723"/>
      <c r="F9" s="836"/>
      <c r="G9" s="836"/>
      <c r="H9" s="836"/>
      <c r="I9" s="836"/>
      <c r="J9" s="836"/>
    </row>
    <row r="10" spans="1:10" x14ac:dyDescent="0.2">
      <c r="A10" s="714" t="s">
        <v>502</v>
      </c>
      <c r="B10" s="837" t="s">
        <v>88</v>
      </c>
      <c r="C10" s="730"/>
      <c r="D10" s="723"/>
      <c r="E10" s="723">
        <f>SUM(C10:D10)</f>
        <v>0</v>
      </c>
      <c r="F10" s="836"/>
      <c r="G10" s="836"/>
      <c r="H10" s="836"/>
      <c r="I10" s="836"/>
      <c r="J10" s="836"/>
    </row>
    <row r="11" spans="1:10" s="9" customFormat="1" x14ac:dyDescent="0.2">
      <c r="A11" s="714" t="s">
        <v>503</v>
      </c>
      <c r="B11" s="837" t="s">
        <v>169</v>
      </c>
      <c r="C11" s="781">
        <f>C12+C13+C14+C15</f>
        <v>732172</v>
      </c>
      <c r="D11" s="781">
        <f t="shared" ref="D11:E11" si="0">D12+D13+D14+D15</f>
        <v>93769</v>
      </c>
      <c r="E11" s="781">
        <f t="shared" si="0"/>
        <v>825941</v>
      </c>
      <c r="F11" s="838"/>
      <c r="G11" s="838"/>
      <c r="H11" s="838"/>
      <c r="I11" s="838"/>
      <c r="J11" s="838"/>
    </row>
    <row r="12" spans="1:10" s="9" customFormat="1" x14ac:dyDescent="0.2">
      <c r="A12" s="714" t="s">
        <v>504</v>
      </c>
      <c r="B12" s="839" t="s">
        <v>166</v>
      </c>
      <c r="C12" s="840">
        <v>548782</v>
      </c>
      <c r="D12" s="840"/>
      <c r="E12" s="840">
        <f t="shared" ref="E12:E15" si="1">C12+D12</f>
        <v>548782</v>
      </c>
      <c r="F12" s="838"/>
      <c r="G12" s="838"/>
      <c r="H12" s="838"/>
      <c r="I12" s="838"/>
      <c r="J12" s="838"/>
    </row>
    <row r="13" spans="1:10" s="9" customFormat="1" x14ac:dyDescent="0.2">
      <c r="A13" s="714" t="s">
        <v>505</v>
      </c>
      <c r="B13" s="839" t="s">
        <v>167</v>
      </c>
      <c r="C13" s="840">
        <v>87961</v>
      </c>
      <c r="D13" s="840"/>
      <c r="E13" s="840">
        <f t="shared" si="1"/>
        <v>87961</v>
      </c>
      <c r="F13" s="838"/>
      <c r="G13" s="838"/>
      <c r="H13" s="838"/>
      <c r="I13" s="838"/>
      <c r="J13" s="838"/>
    </row>
    <row r="14" spans="1:10" s="9" customFormat="1" x14ac:dyDescent="0.2">
      <c r="A14" s="714" t="s">
        <v>506</v>
      </c>
      <c r="B14" s="839" t="s">
        <v>168</v>
      </c>
      <c r="C14" s="840">
        <v>87790</v>
      </c>
      <c r="D14" s="840">
        <v>93769</v>
      </c>
      <c r="E14" s="840">
        <f t="shared" si="1"/>
        <v>181559</v>
      </c>
      <c r="F14" s="838"/>
      <c r="G14" s="838"/>
      <c r="H14" s="838"/>
      <c r="I14" s="838"/>
      <c r="J14" s="838"/>
    </row>
    <row r="15" spans="1:10" s="9" customFormat="1" x14ac:dyDescent="0.2">
      <c r="A15" s="714" t="s">
        <v>509</v>
      </c>
      <c r="B15" s="839" t="s">
        <v>186</v>
      </c>
      <c r="C15" s="723">
        <v>7639</v>
      </c>
      <c r="D15" s="723"/>
      <c r="E15" s="723">
        <f t="shared" si="1"/>
        <v>7639</v>
      </c>
      <c r="F15" s="838"/>
      <c r="G15" s="838"/>
      <c r="H15" s="838"/>
      <c r="I15" s="838"/>
      <c r="J15" s="838"/>
    </row>
    <row r="16" spans="1:10" s="9" customFormat="1" x14ac:dyDescent="0.2">
      <c r="A16" s="714" t="s">
        <v>551</v>
      </c>
      <c r="B16" s="837" t="s">
        <v>170</v>
      </c>
      <c r="C16" s="721">
        <v>0</v>
      </c>
      <c r="D16" s="721"/>
      <c r="E16" s="721">
        <v>0</v>
      </c>
      <c r="F16" s="838"/>
      <c r="G16" s="838"/>
      <c r="H16" s="838"/>
      <c r="I16" s="838"/>
      <c r="J16" s="838"/>
    </row>
    <row r="17" spans="1:10" s="9" customFormat="1" x14ac:dyDescent="0.2">
      <c r="A17" s="714" t="s">
        <v>552</v>
      </c>
      <c r="B17" s="837" t="s">
        <v>195</v>
      </c>
      <c r="C17" s="737">
        <v>2346</v>
      </c>
      <c r="D17" s="841"/>
      <c r="E17" s="737">
        <f>C17+D17</f>
        <v>2346</v>
      </c>
      <c r="F17" s="838"/>
      <c r="G17" s="838"/>
      <c r="H17" s="838"/>
      <c r="I17" s="838"/>
      <c r="J17" s="838"/>
    </row>
    <row r="18" spans="1:10" s="9" customFormat="1" x14ac:dyDescent="0.2">
      <c r="A18" s="714" t="s">
        <v>553</v>
      </c>
      <c r="B18" s="837" t="s">
        <v>290</v>
      </c>
      <c r="C18" s="721">
        <v>0</v>
      </c>
      <c r="D18" s="721">
        <v>0</v>
      </c>
      <c r="E18" s="721">
        <f>C18+D18</f>
        <v>0</v>
      </c>
      <c r="F18" s="838"/>
      <c r="G18" s="838"/>
      <c r="H18" s="838"/>
      <c r="I18" s="838"/>
      <c r="J18" s="838"/>
    </row>
    <row r="19" spans="1:10" x14ac:dyDescent="0.2">
      <c r="A19" s="714" t="s">
        <v>554</v>
      </c>
      <c r="B19" s="842"/>
      <c r="C19" s="723"/>
      <c r="D19" s="723"/>
      <c r="E19" s="723"/>
      <c r="F19" s="836"/>
      <c r="G19" s="836"/>
      <c r="H19" s="836"/>
      <c r="I19" s="836"/>
      <c r="J19" s="836"/>
    </row>
    <row r="20" spans="1:10" x14ac:dyDescent="0.2">
      <c r="A20" s="714" t="s">
        <v>555</v>
      </c>
      <c r="B20" s="837" t="s">
        <v>17</v>
      </c>
      <c r="C20" s="721"/>
      <c r="D20" s="721"/>
      <c r="E20" s="721"/>
      <c r="F20" s="836"/>
      <c r="G20" s="836"/>
      <c r="H20" s="836"/>
      <c r="I20" s="836"/>
      <c r="J20" s="836"/>
    </row>
    <row r="21" spans="1:10" x14ac:dyDescent="0.2">
      <c r="A21" s="714" t="s">
        <v>556</v>
      </c>
      <c r="B21" s="839" t="s">
        <v>89</v>
      </c>
      <c r="C21" s="721">
        <f>SUM(C22:C29)</f>
        <v>4678</v>
      </c>
      <c r="D21" s="721">
        <f>SUM(D22:D29)</f>
        <v>4918</v>
      </c>
      <c r="E21" s="721">
        <f>SUM(E22:E29)</f>
        <v>9596</v>
      </c>
      <c r="F21" s="836"/>
      <c r="G21" s="836"/>
      <c r="H21" s="836"/>
      <c r="I21" s="836"/>
      <c r="J21" s="836"/>
    </row>
    <row r="22" spans="1:10" x14ac:dyDescent="0.2">
      <c r="A22" s="714" t="s">
        <v>557</v>
      </c>
      <c r="B22" s="842" t="s">
        <v>1115</v>
      </c>
      <c r="C22" s="723">
        <v>0</v>
      </c>
      <c r="D22" s="723"/>
      <c r="E22" s="723">
        <f>C22+D22</f>
        <v>0</v>
      </c>
      <c r="F22" s="836"/>
      <c r="G22" s="836"/>
      <c r="H22" s="836"/>
      <c r="I22" s="836"/>
      <c r="J22" s="836"/>
    </row>
    <row r="23" spans="1:10" x14ac:dyDescent="0.2">
      <c r="A23" s="714" t="s">
        <v>558</v>
      </c>
      <c r="B23" s="842" t="s">
        <v>1116</v>
      </c>
      <c r="C23" s="723">
        <v>3828</v>
      </c>
      <c r="D23" s="723"/>
      <c r="E23" s="723">
        <f>C23+D23</f>
        <v>3828</v>
      </c>
      <c r="F23" s="836"/>
      <c r="G23" s="836"/>
      <c r="H23" s="836"/>
      <c r="I23" s="836"/>
      <c r="J23" s="836"/>
    </row>
    <row r="24" spans="1:10" x14ac:dyDescent="0.2">
      <c r="A24" s="714" t="s">
        <v>560</v>
      </c>
      <c r="B24" s="842" t="s">
        <v>981</v>
      </c>
      <c r="C24" s="723">
        <v>0</v>
      </c>
      <c r="D24" s="723"/>
      <c r="E24" s="723">
        <f>C24+D24</f>
        <v>0</v>
      </c>
      <c r="F24" s="836"/>
      <c r="G24" s="836"/>
      <c r="H24" s="836"/>
      <c r="I24" s="836"/>
      <c r="J24" s="836"/>
    </row>
    <row r="25" spans="1:10" x14ac:dyDescent="0.2">
      <c r="A25" s="714" t="s">
        <v>561</v>
      </c>
      <c r="B25" s="842" t="s">
        <v>93</v>
      </c>
      <c r="C25" s="723">
        <v>0</v>
      </c>
      <c r="D25" s="723"/>
      <c r="E25" s="723">
        <f t="shared" ref="E25:E29" si="2">SUM(C25:D25)</f>
        <v>0</v>
      </c>
      <c r="F25" s="836"/>
      <c r="G25" s="836"/>
      <c r="H25" s="836"/>
      <c r="I25" s="836"/>
      <c r="J25" s="836"/>
    </row>
    <row r="26" spans="1:10" x14ac:dyDescent="0.2">
      <c r="A26" s="714" t="s">
        <v>562</v>
      </c>
      <c r="B26" s="842" t="s">
        <v>570</v>
      </c>
      <c r="C26" s="723">
        <v>500</v>
      </c>
      <c r="D26" s="723"/>
      <c r="E26" s="723">
        <f t="shared" si="2"/>
        <v>500</v>
      </c>
      <c r="F26" s="836"/>
      <c r="G26" s="836"/>
      <c r="H26" s="836"/>
      <c r="I26" s="836"/>
      <c r="J26" s="836"/>
    </row>
    <row r="27" spans="1:10" x14ac:dyDescent="0.2">
      <c r="A27" s="714" t="s">
        <v>563</v>
      </c>
      <c r="B27" s="842" t="s">
        <v>163</v>
      </c>
      <c r="C27" s="723">
        <v>350</v>
      </c>
      <c r="D27" s="723"/>
      <c r="E27" s="723">
        <f t="shared" si="2"/>
        <v>350</v>
      </c>
      <c r="F27" s="836"/>
      <c r="G27" s="836"/>
      <c r="H27" s="836"/>
      <c r="I27" s="836"/>
      <c r="J27" s="836"/>
    </row>
    <row r="28" spans="1:10" x14ac:dyDescent="0.2">
      <c r="A28" s="714" t="s">
        <v>564</v>
      </c>
      <c r="B28" s="842" t="s">
        <v>1200</v>
      </c>
      <c r="C28" s="723"/>
      <c r="D28" s="723">
        <v>2450</v>
      </c>
      <c r="E28" s="723">
        <f t="shared" si="2"/>
        <v>2450</v>
      </c>
      <c r="F28" s="836"/>
      <c r="G28" s="836"/>
      <c r="H28" s="836"/>
      <c r="I28" s="836"/>
      <c r="J28" s="836"/>
    </row>
    <row r="29" spans="1:10" x14ac:dyDescent="0.2">
      <c r="A29" s="714" t="s">
        <v>565</v>
      </c>
      <c r="B29" s="842" t="s">
        <v>1243</v>
      </c>
      <c r="C29" s="723"/>
      <c r="D29" s="723">
        <v>2468</v>
      </c>
      <c r="E29" s="723">
        <f t="shared" si="2"/>
        <v>2468</v>
      </c>
      <c r="F29" s="836"/>
      <c r="G29" s="836"/>
      <c r="H29" s="836"/>
      <c r="I29" s="836"/>
      <c r="J29" s="836"/>
    </row>
    <row r="30" spans="1:10" x14ac:dyDescent="0.2">
      <c r="A30" s="714"/>
      <c r="B30" s="842"/>
      <c r="C30" s="723"/>
      <c r="D30" s="723"/>
      <c r="E30" s="723"/>
      <c r="F30" s="836"/>
      <c r="G30" s="836"/>
      <c r="H30" s="836"/>
      <c r="I30" s="836"/>
      <c r="J30" s="836"/>
    </row>
    <row r="31" spans="1:10" x14ac:dyDescent="0.2">
      <c r="A31" s="714"/>
      <c r="B31" s="842"/>
      <c r="C31" s="723"/>
      <c r="D31" s="723"/>
      <c r="E31" s="723"/>
      <c r="F31" s="836"/>
      <c r="G31" s="836"/>
      <c r="H31" s="836"/>
      <c r="I31" s="836"/>
      <c r="J31" s="836"/>
    </row>
    <row r="32" spans="1:10" x14ac:dyDescent="0.2">
      <c r="A32" s="714" t="s">
        <v>566</v>
      </c>
      <c r="B32" s="842"/>
      <c r="C32" s="723"/>
      <c r="D32" s="723"/>
      <c r="E32" s="723"/>
      <c r="F32" s="836"/>
      <c r="G32" s="836"/>
      <c r="H32" s="836"/>
      <c r="I32" s="836"/>
      <c r="J32" s="836"/>
    </row>
    <row r="33" spans="1:10" x14ac:dyDescent="0.2">
      <c r="A33" s="714" t="s">
        <v>567</v>
      </c>
      <c r="B33" s="839" t="s">
        <v>71</v>
      </c>
      <c r="C33" s="721">
        <f>SUM(C34:C35)</f>
        <v>5065</v>
      </c>
      <c r="D33" s="721">
        <f t="shared" ref="D33:E33" si="3">SUM(D34:D35)</f>
        <v>0</v>
      </c>
      <c r="E33" s="721">
        <f t="shared" si="3"/>
        <v>5065</v>
      </c>
      <c r="F33" s="836"/>
      <c r="G33" s="836"/>
      <c r="H33" s="836"/>
      <c r="I33" s="836"/>
      <c r="J33" s="836"/>
    </row>
    <row r="34" spans="1:10" x14ac:dyDescent="0.2">
      <c r="A34" s="714" t="s">
        <v>587</v>
      </c>
      <c r="B34" s="724" t="s">
        <v>94</v>
      </c>
      <c r="C34" s="723">
        <v>5065</v>
      </c>
      <c r="D34" s="723"/>
      <c r="E34" s="723">
        <f t="shared" ref="E34:E35" si="4">C34+D34</f>
        <v>5065</v>
      </c>
      <c r="F34" s="836"/>
      <c r="G34" s="836"/>
      <c r="H34" s="836"/>
      <c r="I34" s="836"/>
      <c r="J34" s="836"/>
    </row>
    <row r="35" spans="1:10" x14ac:dyDescent="0.2">
      <c r="A35" s="714" t="s">
        <v>588</v>
      </c>
      <c r="B35" s="843" t="s">
        <v>95</v>
      </c>
      <c r="C35" s="723">
        <v>0</v>
      </c>
      <c r="D35" s="723"/>
      <c r="E35" s="723">
        <f t="shared" si="4"/>
        <v>0</v>
      </c>
      <c r="F35" s="836"/>
      <c r="G35" s="836"/>
      <c r="H35" s="836"/>
      <c r="I35" s="836"/>
      <c r="J35" s="836"/>
    </row>
    <row r="36" spans="1:10" x14ac:dyDescent="0.2">
      <c r="A36" s="714" t="s">
        <v>589</v>
      </c>
      <c r="B36" s="744"/>
      <c r="C36" s="723"/>
      <c r="D36" s="723"/>
      <c r="E36" s="723"/>
      <c r="F36" s="836"/>
      <c r="G36" s="836"/>
      <c r="H36" s="836"/>
      <c r="I36" s="836"/>
      <c r="J36" s="836"/>
    </row>
    <row r="37" spans="1:10" x14ac:dyDescent="0.2">
      <c r="A37" s="714" t="s">
        <v>590</v>
      </c>
      <c r="B37" s="844" t="s">
        <v>999</v>
      </c>
      <c r="C37" s="721">
        <f>SUM(C38:C38)</f>
        <v>0</v>
      </c>
      <c r="D37" s="721">
        <f>SUM(D38:D38)</f>
        <v>0</v>
      </c>
      <c r="E37" s="721">
        <f>SUM(E38:E38)</f>
        <v>0</v>
      </c>
      <c r="F37" s="836"/>
      <c r="G37" s="836"/>
      <c r="H37" s="836"/>
      <c r="I37" s="836"/>
      <c r="J37" s="836"/>
    </row>
    <row r="38" spans="1:10" x14ac:dyDescent="0.2">
      <c r="A38" s="714" t="s">
        <v>591</v>
      </c>
      <c r="B38" s="744"/>
      <c r="C38" s="723"/>
      <c r="D38" s="723"/>
      <c r="E38" s="723"/>
      <c r="F38" s="836"/>
      <c r="G38" s="836"/>
      <c r="H38" s="836"/>
      <c r="I38" s="836"/>
      <c r="J38" s="836"/>
    </row>
    <row r="39" spans="1:10" x14ac:dyDescent="0.2">
      <c r="A39" s="714" t="s">
        <v>592</v>
      </c>
      <c r="B39" s="739" t="s">
        <v>164</v>
      </c>
      <c r="C39" s="721">
        <f>C21+C33+C37</f>
        <v>9743</v>
      </c>
      <c r="D39" s="721">
        <f t="shared" ref="D39:E39" si="5">D21+D33+D37</f>
        <v>4918</v>
      </c>
      <c r="E39" s="721">
        <f t="shared" si="5"/>
        <v>14661</v>
      </c>
      <c r="F39" s="836"/>
      <c r="G39" s="836"/>
      <c r="H39" s="836"/>
      <c r="I39" s="836"/>
      <c r="J39" s="836"/>
    </row>
    <row r="40" spans="1:10" x14ac:dyDescent="0.2">
      <c r="A40" s="714" t="s">
        <v>593</v>
      </c>
      <c r="B40" s="739"/>
      <c r="C40" s="721"/>
      <c r="D40" s="721"/>
      <c r="E40" s="721"/>
      <c r="F40" s="836"/>
      <c r="G40" s="836"/>
      <c r="H40" s="836"/>
      <c r="I40" s="836"/>
      <c r="J40" s="836"/>
    </row>
    <row r="41" spans="1:10" x14ac:dyDescent="0.2">
      <c r="A41" s="714" t="s">
        <v>594</v>
      </c>
      <c r="B41" s="724" t="s">
        <v>1000</v>
      </c>
      <c r="C41" s="721"/>
      <c r="D41" s="721"/>
      <c r="E41" s="721"/>
      <c r="F41" s="836"/>
      <c r="G41" s="836"/>
      <c r="H41" s="836"/>
      <c r="I41" s="836"/>
      <c r="J41" s="836"/>
    </row>
    <row r="42" spans="1:10" x14ac:dyDescent="0.2">
      <c r="A42" s="714" t="s">
        <v>595</v>
      </c>
      <c r="B42" s="724" t="s">
        <v>1201</v>
      </c>
      <c r="C42" s="723"/>
      <c r="D42" s="723">
        <v>2064</v>
      </c>
      <c r="E42" s="723">
        <f>C42+D42</f>
        <v>2064</v>
      </c>
      <c r="F42" s="836"/>
      <c r="G42" s="836"/>
      <c r="H42" s="836"/>
      <c r="I42" s="836"/>
      <c r="J42" s="836"/>
    </row>
    <row r="43" spans="1:10" x14ac:dyDescent="0.2">
      <c r="A43" s="714" t="s">
        <v>650</v>
      </c>
      <c r="B43" s="724" t="s">
        <v>1202</v>
      </c>
      <c r="C43" s="723"/>
      <c r="D43" s="723">
        <v>2460</v>
      </c>
      <c r="E43" s="723">
        <f t="shared" ref="E43:E45" si="6">C43+D43</f>
        <v>2460</v>
      </c>
      <c r="F43" s="836"/>
      <c r="G43" s="836"/>
      <c r="H43" s="836"/>
      <c r="I43" s="836"/>
      <c r="J43" s="836"/>
    </row>
    <row r="44" spans="1:10" x14ac:dyDescent="0.2">
      <c r="A44" s="714" t="s">
        <v>651</v>
      </c>
      <c r="B44" s="724" t="s">
        <v>1147</v>
      </c>
      <c r="C44" s="721"/>
      <c r="D44" s="723">
        <v>2</v>
      </c>
      <c r="E44" s="723">
        <f t="shared" si="6"/>
        <v>2</v>
      </c>
      <c r="F44" s="836"/>
      <c r="G44" s="836"/>
      <c r="H44" s="836"/>
      <c r="I44" s="836"/>
      <c r="J44" s="836"/>
    </row>
    <row r="45" spans="1:10" x14ac:dyDescent="0.2">
      <c r="A45" s="714" t="s">
        <v>652</v>
      </c>
      <c r="B45" s="724" t="s">
        <v>1203</v>
      </c>
      <c r="C45" s="721"/>
      <c r="D45" s="723">
        <v>57498</v>
      </c>
      <c r="E45" s="723">
        <f t="shared" si="6"/>
        <v>57498</v>
      </c>
      <c r="F45" s="836"/>
      <c r="G45" s="836"/>
      <c r="H45" s="836"/>
      <c r="I45" s="836"/>
      <c r="J45" s="836"/>
    </row>
    <row r="46" spans="1:10" x14ac:dyDescent="0.2">
      <c r="A46" s="714"/>
      <c r="B46" s="724"/>
      <c r="C46" s="721"/>
      <c r="D46" s="723"/>
      <c r="E46" s="723"/>
      <c r="F46" s="836"/>
      <c r="G46" s="836"/>
      <c r="H46" s="836"/>
      <c r="I46" s="836"/>
      <c r="J46" s="836"/>
    </row>
    <row r="47" spans="1:10" x14ac:dyDescent="0.2">
      <c r="A47" s="714"/>
      <c r="B47" s="724"/>
      <c r="C47" s="721"/>
      <c r="D47" s="723"/>
      <c r="E47" s="723"/>
      <c r="F47" s="836"/>
      <c r="G47" s="836"/>
      <c r="H47" s="836"/>
      <c r="I47" s="836"/>
      <c r="J47" s="836"/>
    </row>
    <row r="48" spans="1:10" x14ac:dyDescent="0.2">
      <c r="A48" s="714" t="s">
        <v>653</v>
      </c>
      <c r="B48" s="724"/>
      <c r="C48" s="721"/>
      <c r="D48" s="723"/>
      <c r="E48" s="723"/>
      <c r="F48" s="836"/>
      <c r="G48" s="836"/>
      <c r="H48" s="836"/>
      <c r="I48" s="836"/>
      <c r="J48" s="836"/>
    </row>
    <row r="49" spans="1:10" x14ac:dyDescent="0.2">
      <c r="A49" s="714" t="s">
        <v>121</v>
      </c>
      <c r="B49" s="739" t="s">
        <v>1000</v>
      </c>
      <c r="C49" s="721">
        <f>SUM(C42:C48)</f>
        <v>0</v>
      </c>
      <c r="D49" s="721">
        <f>SUM(D42:D48)</f>
        <v>62024</v>
      </c>
      <c r="E49" s="721">
        <f>SUM(E42:E48)</f>
        <v>62024</v>
      </c>
      <c r="F49" s="836"/>
      <c r="G49" s="836"/>
      <c r="H49" s="836"/>
      <c r="I49" s="836"/>
      <c r="J49" s="836"/>
    </row>
    <row r="50" spans="1:10" x14ac:dyDescent="0.2">
      <c r="A50" s="714" t="s">
        <v>678</v>
      </c>
      <c r="B50" s="739"/>
      <c r="C50" s="721"/>
      <c r="D50" s="721"/>
      <c r="E50" s="721"/>
      <c r="F50" s="836"/>
      <c r="G50" s="836"/>
      <c r="H50" s="836"/>
      <c r="I50" s="836"/>
      <c r="J50" s="836"/>
    </row>
    <row r="51" spans="1:10" x14ac:dyDescent="0.2">
      <c r="A51" s="714" t="s">
        <v>679</v>
      </c>
      <c r="B51" s="739" t="s">
        <v>96</v>
      </c>
      <c r="C51" s="721">
        <f>C11+C16+IC17+C18+C21+C33+C37+C49+C17</f>
        <v>744261</v>
      </c>
      <c r="D51" s="721">
        <f>D11+D16+ID17+D18+D21+D33+D37+D49+D17</f>
        <v>160711</v>
      </c>
      <c r="E51" s="721">
        <f>E11+E16+IE17+E18+E21+E33+E37+E49+E17</f>
        <v>904972</v>
      </c>
      <c r="F51" s="836"/>
      <c r="G51" s="836"/>
      <c r="H51" s="836"/>
      <c r="I51" s="836"/>
      <c r="J51" s="836"/>
    </row>
    <row r="52" spans="1:10" x14ac:dyDescent="0.2">
      <c r="A52" s="714" t="s">
        <v>124</v>
      </c>
      <c r="B52" s="739"/>
      <c r="C52" s="721"/>
      <c r="D52" s="721"/>
      <c r="E52" s="721"/>
      <c r="F52" s="836"/>
      <c r="G52" s="836"/>
      <c r="H52" s="836"/>
      <c r="I52" s="836"/>
      <c r="J52" s="836"/>
    </row>
    <row r="53" spans="1:10" x14ac:dyDescent="0.2">
      <c r="A53" s="714" t="s">
        <v>125</v>
      </c>
      <c r="B53" s="845" t="s">
        <v>339</v>
      </c>
      <c r="C53" s="721"/>
      <c r="D53" s="721"/>
      <c r="E53" s="721"/>
      <c r="F53" s="836"/>
      <c r="G53" s="836"/>
      <c r="H53" s="836"/>
      <c r="I53" s="836"/>
      <c r="J53" s="836"/>
    </row>
    <row r="54" spans="1:10" x14ac:dyDescent="0.2">
      <c r="A54" s="714" t="s">
        <v>126</v>
      </c>
      <c r="B54" s="724" t="s">
        <v>1204</v>
      </c>
      <c r="C54" s="723">
        <v>1387</v>
      </c>
      <c r="D54" s="723"/>
      <c r="E54" s="723">
        <f>SUM(C54:D54)</f>
        <v>1387</v>
      </c>
      <c r="F54" s="836"/>
      <c r="G54" s="836"/>
      <c r="H54" s="836"/>
      <c r="I54" s="836"/>
      <c r="J54" s="836"/>
    </row>
    <row r="55" spans="1:10" x14ac:dyDescent="0.2">
      <c r="A55" s="714" t="s">
        <v>129</v>
      </c>
      <c r="B55" s="739" t="s">
        <v>19</v>
      </c>
      <c r="C55" s="721">
        <f>SUM(C54)</f>
        <v>1387</v>
      </c>
      <c r="D55" s="721">
        <f t="shared" ref="D55:E55" si="7">SUM(D54)</f>
        <v>0</v>
      </c>
      <c r="E55" s="721">
        <f t="shared" si="7"/>
        <v>1387</v>
      </c>
      <c r="F55" s="836"/>
      <c r="G55" s="836"/>
      <c r="H55" s="836"/>
      <c r="I55" s="836"/>
      <c r="J55" s="836"/>
    </row>
    <row r="56" spans="1:10" x14ac:dyDescent="0.2">
      <c r="A56" s="714" t="s">
        <v>132</v>
      </c>
      <c r="B56" s="739" t="s">
        <v>692</v>
      </c>
      <c r="C56" s="721">
        <f>SUM(C55)</f>
        <v>1387</v>
      </c>
      <c r="D56" s="721">
        <f>SUM(D55)</f>
        <v>0</v>
      </c>
      <c r="E56" s="721">
        <f>SUM(C56:D56)</f>
        <v>1387</v>
      </c>
      <c r="F56" s="836"/>
      <c r="G56" s="836"/>
      <c r="H56" s="836"/>
      <c r="I56" s="836"/>
      <c r="J56" s="836"/>
    </row>
    <row r="57" spans="1:10" x14ac:dyDescent="0.2">
      <c r="A57" s="714" t="s">
        <v>133</v>
      </c>
      <c r="B57" s="739"/>
      <c r="C57" s="721"/>
      <c r="D57" s="721"/>
      <c r="E57" s="721"/>
      <c r="F57" s="836"/>
      <c r="G57" s="836"/>
      <c r="H57" s="836"/>
      <c r="I57" s="836"/>
      <c r="J57" s="836"/>
    </row>
    <row r="58" spans="1:10" x14ac:dyDescent="0.2">
      <c r="A58" s="714" t="s">
        <v>134</v>
      </c>
      <c r="B58" s="845" t="s">
        <v>693</v>
      </c>
      <c r="C58" s="721"/>
      <c r="D58" s="721"/>
      <c r="E58" s="721"/>
      <c r="F58" s="836"/>
      <c r="G58" s="836"/>
      <c r="H58" s="836"/>
      <c r="I58" s="836"/>
      <c r="J58" s="836"/>
    </row>
    <row r="59" spans="1:10" x14ac:dyDescent="0.2">
      <c r="A59" s="714" t="s">
        <v>135</v>
      </c>
      <c r="B59" s="724" t="s">
        <v>171</v>
      </c>
      <c r="C59" s="723"/>
      <c r="D59" s="723">
        <v>1696</v>
      </c>
      <c r="E59" s="723">
        <f>SUM(C59:D59)</f>
        <v>1696</v>
      </c>
      <c r="F59" s="836"/>
      <c r="G59" s="836"/>
      <c r="H59" s="836"/>
      <c r="I59" s="836"/>
      <c r="J59" s="836"/>
    </row>
    <row r="60" spans="1:10" x14ac:dyDescent="0.2">
      <c r="A60" s="714" t="s">
        <v>138</v>
      </c>
      <c r="B60" s="724" t="s">
        <v>172</v>
      </c>
      <c r="C60" s="723"/>
      <c r="D60" s="723"/>
      <c r="E60" s="723"/>
      <c r="F60" s="836"/>
      <c r="G60" s="836"/>
      <c r="H60" s="836"/>
      <c r="I60" s="836"/>
      <c r="J60" s="836"/>
    </row>
    <row r="61" spans="1:10" x14ac:dyDescent="0.2">
      <c r="A61" s="714" t="s">
        <v>141</v>
      </c>
      <c r="B61" s="739" t="s">
        <v>19</v>
      </c>
      <c r="C61" s="721">
        <f>SUM(C59:C60)</f>
        <v>0</v>
      </c>
      <c r="D61" s="721">
        <f>SUM(D59:D60)</f>
        <v>1696</v>
      </c>
      <c r="E61" s="721">
        <f>SUM(E59:E60)</f>
        <v>1696</v>
      </c>
      <c r="F61" s="836"/>
      <c r="G61" s="836"/>
      <c r="H61" s="836"/>
      <c r="I61" s="836"/>
      <c r="J61" s="836"/>
    </row>
    <row r="62" spans="1:10" x14ac:dyDescent="0.2">
      <c r="A62" s="714" t="s">
        <v>144</v>
      </c>
      <c r="B62" s="739" t="s">
        <v>173</v>
      </c>
      <c r="C62" s="721">
        <f>C61</f>
        <v>0</v>
      </c>
      <c r="D62" s="721">
        <f>D61</f>
        <v>1696</v>
      </c>
      <c r="E62" s="721">
        <f>E61</f>
        <v>1696</v>
      </c>
      <c r="F62" s="836"/>
      <c r="G62" s="836"/>
      <c r="H62" s="836"/>
      <c r="I62" s="836"/>
      <c r="J62" s="836"/>
    </row>
    <row r="63" spans="1:10" x14ac:dyDescent="0.2">
      <c r="A63" s="714"/>
      <c r="B63" s="739"/>
      <c r="C63" s="721"/>
      <c r="D63" s="721"/>
      <c r="E63" s="721"/>
      <c r="F63" s="836"/>
      <c r="G63" s="836"/>
      <c r="H63" s="836"/>
      <c r="I63" s="836"/>
      <c r="J63" s="836"/>
    </row>
    <row r="64" spans="1:10" x14ac:dyDescent="0.2">
      <c r="A64" s="714"/>
      <c r="B64" s="739" t="s">
        <v>1296</v>
      </c>
      <c r="C64" s="721"/>
      <c r="D64" s="721"/>
      <c r="E64" s="721"/>
      <c r="F64" s="836"/>
      <c r="G64" s="836"/>
      <c r="H64" s="836"/>
      <c r="I64" s="836"/>
      <c r="J64" s="836"/>
    </row>
    <row r="65" spans="1:10" x14ac:dyDescent="0.2">
      <c r="A65" s="714"/>
      <c r="B65" s="724" t="s">
        <v>1297</v>
      </c>
      <c r="C65" s="721"/>
      <c r="D65" s="721"/>
      <c r="E65" s="721"/>
      <c r="F65" s="836"/>
      <c r="G65" s="836"/>
      <c r="H65" s="836"/>
      <c r="I65" s="836"/>
      <c r="J65" s="836"/>
    </row>
    <row r="66" spans="1:10" x14ac:dyDescent="0.2">
      <c r="A66" s="714"/>
      <c r="B66" s="739" t="s">
        <v>1000</v>
      </c>
      <c r="C66" s="721"/>
      <c r="D66" s="721"/>
      <c r="E66" s="721"/>
      <c r="F66" s="836"/>
      <c r="G66" s="836"/>
      <c r="H66" s="836"/>
      <c r="I66" s="836"/>
      <c r="J66" s="836"/>
    </row>
    <row r="67" spans="1:10" x14ac:dyDescent="0.2">
      <c r="A67" s="714"/>
      <c r="B67" s="739" t="s">
        <v>1298</v>
      </c>
      <c r="C67" s="721"/>
      <c r="D67" s="721"/>
      <c r="E67" s="721"/>
      <c r="F67" s="838"/>
      <c r="G67" s="838"/>
      <c r="H67" s="838"/>
      <c r="I67" s="838"/>
      <c r="J67" s="838"/>
    </row>
    <row r="68" spans="1:10" x14ac:dyDescent="0.2">
      <c r="A68" s="714" t="s">
        <v>145</v>
      </c>
      <c r="B68" s="739"/>
      <c r="C68" s="723"/>
      <c r="D68" s="723"/>
      <c r="E68" s="723"/>
      <c r="F68" s="836"/>
      <c r="G68" s="836"/>
      <c r="H68" s="836"/>
      <c r="I68" s="836"/>
      <c r="J68" s="836"/>
    </row>
    <row r="69" spans="1:10" x14ac:dyDescent="0.2">
      <c r="A69" s="714" t="s">
        <v>148</v>
      </c>
      <c r="B69" s="845" t="s">
        <v>98</v>
      </c>
      <c r="C69" s="730"/>
      <c r="D69" s="730"/>
      <c r="E69" s="730"/>
      <c r="F69" s="836"/>
      <c r="G69" s="836"/>
      <c r="H69" s="836"/>
      <c r="I69" s="836"/>
      <c r="J69" s="836"/>
    </row>
    <row r="70" spans="1:10" x14ac:dyDescent="0.2">
      <c r="A70" s="714" t="s">
        <v>149</v>
      </c>
      <c r="B70" s="739" t="s">
        <v>17</v>
      </c>
      <c r="C70" s="730"/>
      <c r="D70" s="730"/>
      <c r="E70" s="730"/>
      <c r="F70" s="836"/>
      <c r="G70" s="836"/>
      <c r="H70" s="836"/>
      <c r="I70" s="836"/>
      <c r="J70" s="836"/>
    </row>
    <row r="71" spans="1:10" x14ac:dyDescent="0.2">
      <c r="A71" s="714" t="s">
        <v>150</v>
      </c>
      <c r="B71" s="724" t="s">
        <v>97</v>
      </c>
      <c r="C71" s="730">
        <v>10370</v>
      </c>
      <c r="D71" s="730"/>
      <c r="E71" s="730">
        <f>SUM(C71:D71)</f>
        <v>10370</v>
      </c>
      <c r="F71" s="836"/>
      <c r="G71" s="836"/>
      <c r="H71" s="836"/>
      <c r="I71" s="836"/>
      <c r="J71" s="836"/>
    </row>
    <row r="72" spans="1:10" x14ac:dyDescent="0.2">
      <c r="A72" s="714" t="s">
        <v>151</v>
      </c>
      <c r="B72" s="724" t="s">
        <v>308</v>
      </c>
      <c r="C72" s="730">
        <v>9089</v>
      </c>
      <c r="D72" s="730"/>
      <c r="E72" s="730">
        <f>SUM(C72:D72)</f>
        <v>9089</v>
      </c>
      <c r="F72" s="836"/>
      <c r="G72" s="836"/>
      <c r="H72" s="836"/>
      <c r="I72" s="836"/>
      <c r="J72" s="836"/>
    </row>
    <row r="73" spans="1:10" x14ac:dyDescent="0.2">
      <c r="A73" s="714" t="s">
        <v>152</v>
      </c>
      <c r="B73" s="724" t="s">
        <v>309</v>
      </c>
      <c r="C73" s="730">
        <v>432</v>
      </c>
      <c r="D73" s="730"/>
      <c r="E73" s="730">
        <f>SUM(C73:D73)</f>
        <v>432</v>
      </c>
      <c r="F73" s="836"/>
      <c r="G73" s="836"/>
      <c r="H73" s="836"/>
      <c r="I73" s="836"/>
      <c r="J73" s="836"/>
    </row>
    <row r="74" spans="1:10" x14ac:dyDescent="0.2">
      <c r="A74" s="714" t="s">
        <v>154</v>
      </c>
      <c r="B74" s="724" t="s">
        <v>172</v>
      </c>
      <c r="C74" s="730"/>
      <c r="D74" s="730"/>
      <c r="E74" s="730"/>
      <c r="F74" s="836"/>
      <c r="G74" s="836"/>
      <c r="H74" s="836"/>
      <c r="I74" s="836"/>
      <c r="J74" s="836"/>
    </row>
    <row r="75" spans="1:10" x14ac:dyDescent="0.2">
      <c r="A75" s="714" t="s">
        <v>157</v>
      </c>
      <c r="B75" s="724" t="s">
        <v>171</v>
      </c>
      <c r="C75" s="730"/>
      <c r="D75" s="730">
        <v>2380</v>
      </c>
      <c r="E75" s="730">
        <f>SUM(C75:D75)</f>
        <v>2380</v>
      </c>
      <c r="F75" s="836"/>
      <c r="G75" s="836"/>
      <c r="H75" s="836"/>
      <c r="I75" s="836"/>
      <c r="J75" s="836"/>
    </row>
    <row r="76" spans="1:10" x14ac:dyDescent="0.2">
      <c r="A76" s="714" t="s">
        <v>159</v>
      </c>
      <c r="B76" s="739" t="s">
        <v>19</v>
      </c>
      <c r="C76" s="737">
        <f>SUM(C71:C75)</f>
        <v>19891</v>
      </c>
      <c r="D76" s="737">
        <f>SUM(D71:D75)</f>
        <v>2380</v>
      </c>
      <c r="E76" s="737">
        <f>SUM(E71:E75)</f>
        <v>22271</v>
      </c>
      <c r="F76" s="836"/>
      <c r="G76" s="836"/>
      <c r="H76" s="836"/>
      <c r="I76" s="836"/>
      <c r="J76" s="836"/>
    </row>
    <row r="77" spans="1:10" x14ac:dyDescent="0.2">
      <c r="A77" s="714" t="s">
        <v>160</v>
      </c>
      <c r="B77" s="846" t="s">
        <v>99</v>
      </c>
      <c r="C77" s="737">
        <f>C76</f>
        <v>19891</v>
      </c>
      <c r="D77" s="737">
        <f>D76</f>
        <v>2380</v>
      </c>
      <c r="E77" s="737">
        <f>E76</f>
        <v>22271</v>
      </c>
      <c r="F77" s="836"/>
      <c r="G77" s="836"/>
      <c r="H77" s="836"/>
      <c r="I77" s="836"/>
      <c r="J77" s="836"/>
    </row>
    <row r="78" spans="1:10" s="9" customFormat="1" x14ac:dyDescent="0.2">
      <c r="A78" s="714" t="s">
        <v>161</v>
      </c>
      <c r="B78" s="739"/>
      <c r="C78" s="737"/>
      <c r="D78" s="737"/>
      <c r="E78" s="737"/>
      <c r="F78" s="838"/>
      <c r="G78" s="838"/>
      <c r="H78" s="838"/>
      <c r="I78" s="838"/>
      <c r="J78" s="838"/>
    </row>
    <row r="79" spans="1:10" s="9" customFormat="1" x14ac:dyDescent="0.2">
      <c r="A79" s="714" t="s">
        <v>1205</v>
      </c>
      <c r="B79" s="739" t="s">
        <v>18</v>
      </c>
      <c r="C79" s="737">
        <f>C39+C61+C76+C55</f>
        <v>31021</v>
      </c>
      <c r="D79" s="737">
        <f t="shared" ref="D79:E79" si="8">D39+D61+D76+D55</f>
        <v>8994</v>
      </c>
      <c r="E79" s="737">
        <f t="shared" si="8"/>
        <v>40015</v>
      </c>
      <c r="F79" s="838"/>
      <c r="G79" s="838"/>
      <c r="H79" s="838"/>
      <c r="I79" s="838"/>
      <c r="J79" s="838"/>
    </row>
    <row r="80" spans="1:10" x14ac:dyDescent="0.2">
      <c r="A80" s="714" t="s">
        <v>1206</v>
      </c>
      <c r="B80" s="739" t="s">
        <v>100</v>
      </c>
      <c r="C80" s="721">
        <f>C49</f>
        <v>0</v>
      </c>
      <c r="D80" s="721">
        <f>D49</f>
        <v>62024</v>
      </c>
      <c r="E80" s="721">
        <f>E49</f>
        <v>62024</v>
      </c>
      <c r="F80" s="836"/>
      <c r="G80" s="836"/>
      <c r="H80" s="836"/>
      <c r="I80" s="836"/>
      <c r="J80" s="836"/>
    </row>
    <row r="81" spans="1:10" x14ac:dyDescent="0.2">
      <c r="A81" s="714" t="s">
        <v>1207</v>
      </c>
      <c r="B81" s="739"/>
      <c r="C81" s="723"/>
      <c r="D81" s="723"/>
      <c r="E81" s="723"/>
      <c r="F81" s="836"/>
      <c r="G81" s="836"/>
      <c r="H81" s="836"/>
      <c r="I81" s="836"/>
      <c r="J81" s="836"/>
    </row>
    <row r="82" spans="1:10" s="10" customFormat="1" x14ac:dyDescent="0.2">
      <c r="A82" s="714" t="s">
        <v>1244</v>
      </c>
      <c r="B82" s="739" t="s">
        <v>102</v>
      </c>
      <c r="C82" s="721">
        <f>C51+C77+C62+C56</f>
        <v>765539</v>
      </c>
      <c r="D82" s="721">
        <f t="shared" ref="D82:E82" si="9">D51+D77+D62+D56</f>
        <v>164787</v>
      </c>
      <c r="E82" s="721">
        <f t="shared" si="9"/>
        <v>930326</v>
      </c>
      <c r="F82" s="725"/>
      <c r="G82" s="725"/>
      <c r="H82" s="725"/>
      <c r="I82" s="725"/>
      <c r="J82" s="725"/>
    </row>
    <row r="83" spans="1:10" s="10" customFormat="1" x14ac:dyDescent="0.2">
      <c r="A83" s="123"/>
      <c r="B83" s="119"/>
      <c r="C83" s="120"/>
      <c r="D83" s="405"/>
      <c r="E83" s="405"/>
      <c r="I83" s="209"/>
    </row>
    <row r="84" spans="1:10" x14ac:dyDescent="0.2">
      <c r="B84" s="119"/>
    </row>
    <row r="85" spans="1:10" x14ac:dyDescent="0.2">
      <c r="B85" s="119"/>
      <c r="G85" s="597"/>
    </row>
    <row r="86" spans="1:10" x14ac:dyDescent="0.2">
      <c r="B86" s="131"/>
      <c r="G86" s="597"/>
    </row>
    <row r="87" spans="1:10" x14ac:dyDescent="0.2">
      <c r="B87" s="131"/>
    </row>
    <row r="89" spans="1:10" x14ac:dyDescent="0.2">
      <c r="B89" s="131"/>
    </row>
    <row r="90" spans="1:10" x14ac:dyDescent="0.2">
      <c r="B90" s="131"/>
    </row>
    <row r="91" spans="1:10" x14ac:dyDescent="0.2">
      <c r="B91" s="131"/>
    </row>
    <row r="92" spans="1:10" x14ac:dyDescent="0.2">
      <c r="B92" s="131"/>
    </row>
    <row r="93" spans="1:10" x14ac:dyDescent="0.2">
      <c r="B93" s="131"/>
    </row>
    <row r="94" spans="1:10" x14ac:dyDescent="0.2">
      <c r="B94" s="119"/>
    </row>
    <row r="95" spans="1:10" x14ac:dyDescent="0.2">
      <c r="B95" s="131"/>
    </row>
    <row r="96" spans="1:10" x14ac:dyDescent="0.2">
      <c r="B96" s="131"/>
    </row>
    <row r="97" spans="2:2" x14ac:dyDescent="0.2">
      <c r="B97" s="131"/>
    </row>
    <row r="98" spans="2:2" x14ac:dyDescent="0.2">
      <c r="B98" s="131"/>
    </row>
  </sheetData>
  <sheetProtection selectLockedCells="1" selectUnlockedCells="1"/>
  <mergeCells count="10">
    <mergeCell ref="F7:G7"/>
    <mergeCell ref="H7:J7"/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8" scale="97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35" customWidth="1"/>
    <col min="2" max="2" width="9.85546875" style="135" hidden="1" customWidth="1"/>
    <col min="3" max="3" width="11.7109375" style="135" hidden="1" customWidth="1"/>
    <col min="4" max="4" width="9.85546875" style="135" hidden="1" customWidth="1"/>
    <col min="5" max="5" width="15.85546875" style="139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250" t="s">
        <v>302</v>
      </c>
      <c r="B1" s="1250"/>
      <c r="C1" s="1250"/>
      <c r="D1" s="1250"/>
      <c r="E1" s="1250"/>
      <c r="F1" s="1250"/>
      <c r="G1" s="1250"/>
      <c r="H1" s="1250"/>
      <c r="I1" s="1250"/>
    </row>
    <row r="2" spans="1:256" x14ac:dyDescent="0.2">
      <c r="F2" s="1260"/>
      <c r="G2" s="1260"/>
      <c r="H2" s="1260"/>
      <c r="I2" s="1260"/>
    </row>
    <row r="4" spans="1:256" ht="30" customHeight="1" x14ac:dyDescent="0.2">
      <c r="A4" s="1261" t="s">
        <v>78</v>
      </c>
      <c r="B4" s="1261"/>
      <c r="C4" s="1261"/>
      <c r="D4" s="1261"/>
      <c r="E4" s="1261"/>
      <c r="F4" s="1262"/>
      <c r="G4" s="1262"/>
      <c r="H4" s="1262"/>
      <c r="I4" s="1262"/>
    </row>
    <row r="5" spans="1:256" ht="33" customHeight="1" x14ac:dyDescent="0.2">
      <c r="A5" s="1261" t="s">
        <v>1111</v>
      </c>
      <c r="B5" s="1261"/>
      <c r="C5" s="1261"/>
      <c r="D5" s="1261"/>
      <c r="E5" s="1261"/>
      <c r="F5" s="1262"/>
      <c r="G5" s="1262"/>
      <c r="H5" s="1262"/>
      <c r="I5" s="1262"/>
    </row>
    <row r="7" spans="1:256" ht="13.5" thickBot="1" x14ac:dyDescent="0.25">
      <c r="E7" s="390" t="s">
        <v>20</v>
      </c>
      <c r="F7" s="615"/>
    </row>
    <row r="8" spans="1:256" ht="30.75" customHeight="1" thickBot="1" x14ac:dyDescent="0.25">
      <c r="A8" s="1253" t="s">
        <v>79</v>
      </c>
      <c r="B8" s="1255" t="s">
        <v>112</v>
      </c>
      <c r="C8" s="1256"/>
      <c r="D8" s="1256"/>
      <c r="E8" s="1256"/>
      <c r="F8" s="1257" t="s">
        <v>1064</v>
      </c>
      <c r="G8" s="1258"/>
      <c r="H8" s="1258"/>
      <c r="I8" s="1259"/>
    </row>
    <row r="9" spans="1:256" ht="36.75" thickBot="1" x14ac:dyDescent="0.25">
      <c r="A9" s="1254"/>
      <c r="B9" s="204" t="s">
        <v>80</v>
      </c>
      <c r="C9" s="136" t="s">
        <v>81</v>
      </c>
      <c r="D9" s="136" t="s">
        <v>707</v>
      </c>
      <c r="E9" s="205" t="s">
        <v>82</v>
      </c>
      <c r="F9" s="204" t="s">
        <v>80</v>
      </c>
      <c r="G9" s="136" t="s">
        <v>81</v>
      </c>
      <c r="H9" s="136" t="s">
        <v>707</v>
      </c>
      <c r="I9" s="205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402" t="s">
        <v>83</v>
      </c>
      <c r="B10" s="403"/>
      <c r="C10" s="403"/>
      <c r="D10" s="403"/>
      <c r="E10" s="403"/>
      <c r="F10" s="404"/>
      <c r="G10" s="404"/>
      <c r="H10" s="404"/>
      <c r="I10" s="404"/>
      <c r="J10" s="425"/>
    </row>
    <row r="11" spans="1:256" ht="12.75" x14ac:dyDescent="0.2">
      <c r="A11" s="397" t="s">
        <v>846</v>
      </c>
      <c r="B11" s="492"/>
      <c r="C11" s="492"/>
      <c r="D11" s="492"/>
      <c r="E11" s="492"/>
      <c r="F11" s="549"/>
      <c r="G11" s="549"/>
      <c r="H11" s="549"/>
      <c r="I11" s="549"/>
      <c r="J11" s="425"/>
    </row>
    <row r="12" spans="1:256" ht="36" x14ac:dyDescent="0.2">
      <c r="A12" s="489" t="s">
        <v>847</v>
      </c>
      <c r="B12" s="492">
        <v>4865</v>
      </c>
      <c r="C12" s="550">
        <v>18.690000000000001</v>
      </c>
      <c r="D12" s="492">
        <v>4580000</v>
      </c>
      <c r="E12" s="492">
        <f>C12*D12</f>
        <v>85600200</v>
      </c>
      <c r="F12" s="588" t="s">
        <v>1065</v>
      </c>
      <c r="G12" s="392">
        <v>18.32</v>
      </c>
      <c r="H12" s="392">
        <v>4580000</v>
      </c>
      <c r="I12" s="393">
        <f>G12*H12</f>
        <v>83905600</v>
      </c>
      <c r="J12" s="425"/>
    </row>
    <row r="13" spans="1:256" ht="12.75" x14ac:dyDescent="0.2">
      <c r="A13" s="397" t="s">
        <v>848</v>
      </c>
      <c r="B13" s="492"/>
      <c r="C13" s="492"/>
      <c r="D13" s="492"/>
      <c r="E13" s="492"/>
      <c r="F13" s="449"/>
      <c r="G13" s="497"/>
      <c r="H13" s="497"/>
      <c r="I13" s="449"/>
      <c r="J13" s="425"/>
    </row>
    <row r="14" spans="1:256" ht="12.75" x14ac:dyDescent="0.2">
      <c r="A14" s="489" t="s">
        <v>849</v>
      </c>
      <c r="B14" s="492"/>
      <c r="C14" s="501"/>
      <c r="D14" s="492" t="s">
        <v>303</v>
      </c>
      <c r="E14" s="492">
        <v>8328800</v>
      </c>
      <c r="F14" s="449"/>
      <c r="G14" s="497"/>
      <c r="H14" s="392" t="s">
        <v>303</v>
      </c>
      <c r="I14" s="393">
        <v>8329050</v>
      </c>
      <c r="J14" s="425"/>
    </row>
    <row r="15" spans="1:256" ht="12.75" x14ac:dyDescent="0.2">
      <c r="A15" s="489" t="s">
        <v>850</v>
      </c>
      <c r="B15" s="394"/>
      <c r="C15" s="395"/>
      <c r="D15" s="394"/>
      <c r="E15" s="394"/>
      <c r="F15" s="393"/>
      <c r="G15" s="392"/>
      <c r="H15" s="392"/>
      <c r="I15" s="393">
        <v>-8329050</v>
      </c>
      <c r="J15" s="425"/>
    </row>
    <row r="16" spans="1:256" ht="24" x14ac:dyDescent="0.2">
      <c r="A16" s="489" t="s">
        <v>851</v>
      </c>
      <c r="B16" s="394"/>
      <c r="C16" s="395"/>
      <c r="D16" s="394"/>
      <c r="E16" s="394"/>
      <c r="F16" s="393"/>
      <c r="G16" s="392"/>
      <c r="H16" s="392"/>
      <c r="I16" s="393">
        <f>I14+I15</f>
        <v>0</v>
      </c>
      <c r="J16" s="425"/>
    </row>
    <row r="17" spans="1:10" ht="12.75" x14ac:dyDescent="0.2">
      <c r="A17" s="397" t="s">
        <v>852</v>
      </c>
      <c r="B17" s="492"/>
      <c r="C17" s="492"/>
      <c r="D17" s="553" t="s">
        <v>304</v>
      </c>
      <c r="E17" s="492">
        <v>18272000</v>
      </c>
      <c r="F17" s="449"/>
      <c r="G17" s="497"/>
      <c r="H17" s="392" t="s">
        <v>305</v>
      </c>
      <c r="I17" s="393">
        <v>18304000</v>
      </c>
      <c r="J17" s="425"/>
    </row>
    <row r="18" spans="1:10" ht="12.75" x14ac:dyDescent="0.2">
      <c r="A18" s="397" t="s">
        <v>850</v>
      </c>
      <c r="B18" s="394"/>
      <c r="C18" s="394"/>
      <c r="D18" s="491"/>
      <c r="E18" s="394"/>
      <c r="F18" s="393"/>
      <c r="G18" s="392"/>
      <c r="H18" s="392"/>
      <c r="I18" s="393">
        <v>-18304000</v>
      </c>
      <c r="J18" s="425"/>
    </row>
    <row r="19" spans="1:10" ht="12.75" x14ac:dyDescent="0.2">
      <c r="A19" s="397" t="s">
        <v>853</v>
      </c>
      <c r="B19" s="394"/>
      <c r="C19" s="394"/>
      <c r="D19" s="491"/>
      <c r="E19" s="394"/>
      <c r="F19" s="393"/>
      <c r="G19" s="392"/>
      <c r="H19" s="392"/>
      <c r="I19" s="393">
        <f>I17+I18</f>
        <v>0</v>
      </c>
      <c r="J19" s="425"/>
    </row>
    <row r="20" spans="1:10" ht="12.75" x14ac:dyDescent="0.2">
      <c r="A20" s="397" t="s">
        <v>854</v>
      </c>
      <c r="B20" s="492"/>
      <c r="C20" s="492" t="s">
        <v>855</v>
      </c>
      <c r="D20" s="493" t="s">
        <v>708</v>
      </c>
      <c r="E20" s="492">
        <v>1355022</v>
      </c>
      <c r="F20" s="449"/>
      <c r="G20" s="492"/>
      <c r="H20" s="494" t="s">
        <v>708</v>
      </c>
      <c r="I20" s="393">
        <v>1355022</v>
      </c>
      <c r="J20" s="425"/>
    </row>
    <row r="21" spans="1:10" ht="12.75" x14ac:dyDescent="0.2">
      <c r="A21" s="397" t="s">
        <v>856</v>
      </c>
      <c r="B21" s="394"/>
      <c r="C21" s="394"/>
      <c r="D21" s="494"/>
      <c r="E21" s="394"/>
      <c r="F21" s="393"/>
      <c r="G21" s="394"/>
      <c r="H21" s="494"/>
      <c r="I21" s="393">
        <v>-1355022</v>
      </c>
      <c r="J21" s="425"/>
    </row>
    <row r="22" spans="1:10" ht="12.75" x14ac:dyDescent="0.2">
      <c r="A22" s="397" t="s">
        <v>857</v>
      </c>
      <c r="B22" s="394"/>
      <c r="C22" s="394"/>
      <c r="D22" s="494"/>
      <c r="E22" s="394"/>
      <c r="F22" s="393"/>
      <c r="G22" s="394"/>
      <c r="H22" s="494"/>
      <c r="I22" s="393">
        <f>I20+I21</f>
        <v>0</v>
      </c>
      <c r="J22" s="425"/>
    </row>
    <row r="23" spans="1:10" ht="12.75" x14ac:dyDescent="0.2">
      <c r="A23" s="397" t="s">
        <v>858</v>
      </c>
      <c r="B23" s="492"/>
      <c r="C23" s="501"/>
      <c r="D23" s="553" t="s">
        <v>709</v>
      </c>
      <c r="E23" s="492">
        <v>6369620</v>
      </c>
      <c r="F23" s="449"/>
      <c r="G23" s="497"/>
      <c r="H23" s="491" t="s">
        <v>709</v>
      </c>
      <c r="I23" s="393">
        <v>6369620</v>
      </c>
      <c r="J23" s="425"/>
    </row>
    <row r="24" spans="1:10" ht="12.75" x14ac:dyDescent="0.2">
      <c r="A24" s="397" t="s">
        <v>856</v>
      </c>
      <c r="B24" s="394"/>
      <c r="C24" s="395"/>
      <c r="D24" s="491"/>
      <c r="E24" s="394"/>
      <c r="F24" s="393"/>
      <c r="G24" s="392"/>
      <c r="H24" s="491"/>
      <c r="I24" s="393">
        <v>-6369620</v>
      </c>
      <c r="J24" s="425"/>
    </row>
    <row r="25" spans="1:10" ht="12.75" x14ac:dyDescent="0.2">
      <c r="A25" s="397" t="s">
        <v>859</v>
      </c>
      <c r="B25" s="394"/>
      <c r="C25" s="395"/>
      <c r="D25" s="491"/>
      <c r="E25" s="394"/>
      <c r="F25" s="393"/>
      <c r="G25" s="392"/>
      <c r="H25" s="491"/>
      <c r="I25" s="393">
        <f>I23+I24</f>
        <v>0</v>
      </c>
      <c r="J25" s="425"/>
    </row>
    <row r="26" spans="1:10" ht="12.75" x14ac:dyDescent="0.2">
      <c r="A26" s="397" t="s">
        <v>860</v>
      </c>
      <c r="B26" s="492">
        <v>4865</v>
      </c>
      <c r="C26" s="492"/>
      <c r="D26" s="492">
        <v>2700</v>
      </c>
      <c r="E26" s="492">
        <f>B26*D26</f>
        <v>13135500</v>
      </c>
      <c r="F26" s="393">
        <v>4705</v>
      </c>
      <c r="G26" s="497"/>
      <c r="H26" s="394">
        <v>2700</v>
      </c>
      <c r="I26" s="393">
        <f>F26*H26</f>
        <v>12703500</v>
      </c>
      <c r="J26" s="425"/>
    </row>
    <row r="27" spans="1:10" ht="12.75" x14ac:dyDescent="0.2">
      <c r="A27" s="397" t="s">
        <v>861</v>
      </c>
      <c r="B27" s="394"/>
      <c r="C27" s="394"/>
      <c r="D27" s="394"/>
      <c r="E27" s="394">
        <v>-13135500</v>
      </c>
      <c r="F27" s="393"/>
      <c r="G27" s="392"/>
      <c r="H27" s="392"/>
      <c r="I27" s="393">
        <v>-12703500</v>
      </c>
      <c r="J27" s="425"/>
    </row>
    <row r="28" spans="1:10" ht="12.75" x14ac:dyDescent="0.2">
      <c r="A28" s="397" t="s">
        <v>862</v>
      </c>
      <c r="B28" s="394"/>
      <c r="C28" s="394"/>
      <c r="D28" s="394"/>
      <c r="E28" s="394">
        <f>E26+E27</f>
        <v>0</v>
      </c>
      <c r="F28" s="393"/>
      <c r="G28" s="392"/>
      <c r="H28" s="392"/>
      <c r="I28" s="393">
        <f>I26+I27</f>
        <v>0</v>
      </c>
      <c r="J28" s="425"/>
    </row>
    <row r="29" spans="1:10" ht="12.75" x14ac:dyDescent="0.2">
      <c r="A29" s="397" t="s">
        <v>863</v>
      </c>
      <c r="B29" s="492">
        <v>10</v>
      </c>
      <c r="C29" s="492"/>
      <c r="D29" s="492" t="s">
        <v>306</v>
      </c>
      <c r="E29" s="495">
        <v>25500</v>
      </c>
      <c r="F29" s="616">
        <v>21</v>
      </c>
      <c r="G29" s="497"/>
      <c r="H29" s="394" t="s">
        <v>306</v>
      </c>
      <c r="I29" s="616">
        <v>53550</v>
      </c>
      <c r="J29" s="425"/>
    </row>
    <row r="30" spans="1:10" ht="12.75" x14ac:dyDescent="0.2">
      <c r="A30" s="397" t="s">
        <v>864</v>
      </c>
      <c r="B30" s="394"/>
      <c r="C30" s="394"/>
      <c r="D30" s="394"/>
      <c r="E30" s="394">
        <v>-25500</v>
      </c>
      <c r="F30" s="393"/>
      <c r="G30" s="392"/>
      <c r="H30" s="392"/>
      <c r="I30" s="616">
        <v>-53550</v>
      </c>
      <c r="J30" s="425"/>
    </row>
    <row r="31" spans="1:10" ht="12.75" x14ac:dyDescent="0.2">
      <c r="A31" s="397" t="s">
        <v>865</v>
      </c>
      <c r="B31" s="492"/>
      <c r="C31" s="492"/>
      <c r="D31" s="492"/>
      <c r="E31" s="495">
        <v>0</v>
      </c>
      <c r="F31" s="449"/>
      <c r="G31" s="497"/>
      <c r="H31" s="497"/>
      <c r="I31" s="616">
        <f>I29+I30</f>
        <v>0</v>
      </c>
      <c r="J31" s="425"/>
    </row>
    <row r="32" spans="1:10" ht="12.75" x14ac:dyDescent="0.2">
      <c r="A32" s="552" t="s">
        <v>972</v>
      </c>
      <c r="B32" s="492"/>
      <c r="C32" s="492">
        <v>487729000</v>
      </c>
      <c r="D32" s="501">
        <v>1.55</v>
      </c>
      <c r="E32" s="492">
        <f>C32*D32</f>
        <v>755979950</v>
      </c>
      <c r="F32" s="449"/>
      <c r="G32" s="393">
        <v>540752027</v>
      </c>
      <c r="H32" s="395">
        <v>1</v>
      </c>
      <c r="I32" s="393">
        <f>G32*H32</f>
        <v>540752027</v>
      </c>
      <c r="J32" s="425"/>
    </row>
    <row r="33" spans="1:18" ht="12.75" x14ac:dyDescent="0.2">
      <c r="A33" s="397" t="s">
        <v>861</v>
      </c>
      <c r="B33" s="394"/>
      <c r="C33" s="394"/>
      <c r="D33" s="398"/>
      <c r="E33" s="394">
        <v>-98054262</v>
      </c>
      <c r="F33" s="393"/>
      <c r="G33" s="392"/>
      <c r="H33" s="392"/>
      <c r="I33" s="616">
        <v>-76318159</v>
      </c>
      <c r="J33" s="425"/>
    </row>
    <row r="34" spans="1:18" ht="12.75" x14ac:dyDescent="0.2">
      <c r="A34" s="397" t="s">
        <v>867</v>
      </c>
      <c r="B34" s="492"/>
      <c r="C34" s="492"/>
      <c r="D34" s="506"/>
      <c r="E34" s="492">
        <f>E32+E33</f>
        <v>657925688</v>
      </c>
      <c r="F34" s="449"/>
      <c r="G34" s="497"/>
      <c r="H34" s="497"/>
      <c r="I34" s="616">
        <f>I32+I33</f>
        <v>464433868</v>
      </c>
      <c r="J34" s="425"/>
    </row>
    <row r="35" spans="1:18" ht="12.75" x14ac:dyDescent="0.2">
      <c r="A35" s="496" t="s">
        <v>1066</v>
      </c>
      <c r="B35" s="492"/>
      <c r="C35" s="492"/>
      <c r="D35" s="492"/>
      <c r="E35" s="492">
        <v>0</v>
      </c>
      <c r="F35" s="449"/>
      <c r="G35" s="497"/>
      <c r="H35" s="497"/>
      <c r="I35" s="393">
        <v>0</v>
      </c>
      <c r="J35" s="425"/>
      <c r="K35" s="617">
        <f>I12+I16+I19+I25+I28+I31+I34+I35</f>
        <v>548339468</v>
      </c>
      <c r="L35" s="6" t="s">
        <v>942</v>
      </c>
    </row>
    <row r="36" spans="1:18" ht="24" x14ac:dyDescent="0.2">
      <c r="A36" s="489" t="s">
        <v>1067</v>
      </c>
      <c r="B36" s="492"/>
      <c r="C36" s="492"/>
      <c r="D36" s="492"/>
      <c r="E36" s="492"/>
      <c r="F36" s="449"/>
      <c r="G36" s="497"/>
      <c r="H36" s="497"/>
      <c r="I36" s="393">
        <v>0</v>
      </c>
      <c r="J36" s="425"/>
      <c r="K36" s="498"/>
    </row>
    <row r="37" spans="1:18" ht="12.75" x14ac:dyDescent="0.2">
      <c r="A37" s="496"/>
      <c r="B37" s="492"/>
      <c r="C37" s="492"/>
      <c r="D37" s="492"/>
      <c r="E37" s="492"/>
      <c r="F37" s="449"/>
      <c r="G37" s="497"/>
      <c r="H37" s="497"/>
      <c r="I37" s="449"/>
      <c r="J37" s="425"/>
      <c r="K37" s="498"/>
    </row>
    <row r="38" spans="1:18" ht="12.75" x14ac:dyDescent="0.2">
      <c r="A38" s="499" t="s">
        <v>84</v>
      </c>
      <c r="B38" s="492"/>
      <c r="C38" s="492"/>
      <c r="D38" s="492"/>
      <c r="E38" s="492"/>
      <c r="F38" s="449"/>
      <c r="G38" s="497"/>
      <c r="H38" s="497"/>
      <c r="I38" s="449"/>
      <c r="J38" s="425"/>
    </row>
    <row r="39" spans="1:18" ht="24" x14ac:dyDescent="0.2">
      <c r="A39" s="489" t="s">
        <v>869</v>
      </c>
      <c r="B39" s="492"/>
      <c r="C39" s="492"/>
      <c r="D39" s="492"/>
      <c r="E39" s="492"/>
      <c r="F39" s="449"/>
      <c r="G39" s="497"/>
      <c r="H39" s="497"/>
      <c r="I39" s="449"/>
      <c r="J39" s="425"/>
    </row>
    <row r="40" spans="1:18" ht="12.75" x14ac:dyDescent="0.2">
      <c r="A40" s="489" t="s">
        <v>870</v>
      </c>
      <c r="B40" s="492"/>
      <c r="C40" s="501">
        <v>13.1</v>
      </c>
      <c r="D40" s="492">
        <v>4152000</v>
      </c>
      <c r="E40" s="492">
        <f>C40*D40*8/12</f>
        <v>36260800</v>
      </c>
      <c r="F40" s="618" t="s">
        <v>1112</v>
      </c>
      <c r="G40" s="619">
        <v>12.5</v>
      </c>
      <c r="H40" s="611">
        <v>4419000</v>
      </c>
      <c r="I40" s="616">
        <f>G40*8/12*4419000</f>
        <v>36825000</v>
      </c>
      <c r="J40" s="425"/>
    </row>
    <row r="41" spans="1:18" ht="12.75" x14ac:dyDescent="0.2">
      <c r="A41" s="489" t="s">
        <v>871</v>
      </c>
      <c r="B41" s="492"/>
      <c r="C41" s="501">
        <v>13.1</v>
      </c>
      <c r="D41" s="502">
        <v>4152000</v>
      </c>
      <c r="E41" s="492">
        <f>C41*D41*4/12</f>
        <v>18130400</v>
      </c>
      <c r="F41" s="618" t="s">
        <v>1112</v>
      </c>
      <c r="G41" s="620">
        <v>12.5</v>
      </c>
      <c r="H41" s="611">
        <v>4419000</v>
      </c>
      <c r="I41" s="616">
        <f>G41*4/12*H41</f>
        <v>18412500</v>
      </c>
      <c r="J41" s="425"/>
    </row>
    <row r="42" spans="1:18" ht="24" x14ac:dyDescent="0.2">
      <c r="A42" s="489" t="s">
        <v>872</v>
      </c>
      <c r="B42" s="492"/>
      <c r="C42" s="492">
        <v>10</v>
      </c>
      <c r="D42" s="492">
        <v>1800000</v>
      </c>
      <c r="E42" s="495">
        <f>C42*D42*8/12</f>
        <v>12000000</v>
      </c>
      <c r="F42" s="551"/>
      <c r="G42" s="500">
        <v>9</v>
      </c>
      <c r="H42" s="611">
        <v>2205000</v>
      </c>
      <c r="I42" s="393">
        <f>G42*H42*8/12</f>
        <v>13230000</v>
      </c>
      <c r="J42" s="425"/>
    </row>
    <row r="43" spans="1:18" ht="24" x14ac:dyDescent="0.2">
      <c r="A43" s="489" t="s">
        <v>973</v>
      </c>
      <c r="B43" s="492"/>
      <c r="C43" s="492"/>
      <c r="D43" s="492"/>
      <c r="E43" s="495"/>
      <c r="F43" s="449"/>
      <c r="G43" s="500">
        <v>0</v>
      </c>
      <c r="H43" s="611">
        <v>4419000</v>
      </c>
      <c r="I43" s="393">
        <f>G43*H43*8/12</f>
        <v>0</v>
      </c>
      <c r="J43" s="425"/>
    </row>
    <row r="44" spans="1:18" ht="24" x14ac:dyDescent="0.2">
      <c r="A44" s="489" t="s">
        <v>874</v>
      </c>
      <c r="B44" s="492"/>
      <c r="C44" s="492">
        <v>10</v>
      </c>
      <c r="D44" s="492">
        <v>1800000</v>
      </c>
      <c r="E44" s="492">
        <f>C44*D44*4/12</f>
        <v>6000000</v>
      </c>
      <c r="F44" s="449"/>
      <c r="G44" s="500">
        <v>9</v>
      </c>
      <c r="H44" s="611">
        <v>2205000</v>
      </c>
      <c r="I44" s="393">
        <f>G44*H44*4/12</f>
        <v>6615000</v>
      </c>
      <c r="J44" s="426"/>
    </row>
    <row r="45" spans="1:18" ht="39" x14ac:dyDescent="0.2">
      <c r="A45" s="489" t="s">
        <v>974</v>
      </c>
      <c r="B45" s="492"/>
      <c r="C45" s="492"/>
      <c r="D45" s="492"/>
      <c r="E45" s="492"/>
      <c r="F45" s="449"/>
      <c r="G45" s="500">
        <v>0</v>
      </c>
      <c r="H45" s="611">
        <v>4419000</v>
      </c>
      <c r="I45" s="393">
        <f>G45*H45*4/12</f>
        <v>0</v>
      </c>
      <c r="J45" s="426"/>
      <c r="K45" s="599" t="s">
        <v>943</v>
      </c>
      <c r="L45" s="498">
        <f>I12+I14+I17+I20+I23+I26+I29+I32</f>
        <v>671772369</v>
      </c>
      <c r="N45" s="600" t="s">
        <v>1113</v>
      </c>
      <c r="O45" s="498">
        <v>123432901</v>
      </c>
      <c r="P45" s="498">
        <f>I15+I18+I21+I24+I27+I30</f>
        <v>-47114742</v>
      </c>
      <c r="Q45" s="498">
        <f>O45+P45</f>
        <v>76318159</v>
      </c>
      <c r="R45" s="600" t="s">
        <v>944</v>
      </c>
    </row>
    <row r="46" spans="1:18" ht="12.75" x14ac:dyDescent="0.2">
      <c r="A46" s="397" t="s">
        <v>877</v>
      </c>
      <c r="B46" s="492"/>
      <c r="C46" s="492"/>
      <c r="D46" s="492"/>
      <c r="E46" s="492"/>
      <c r="F46" s="449"/>
      <c r="G46" s="497"/>
      <c r="H46" s="497"/>
      <c r="I46" s="449"/>
      <c r="J46" s="425"/>
    </row>
    <row r="47" spans="1:18" ht="24" x14ac:dyDescent="0.2">
      <c r="A47" s="489" t="s">
        <v>975</v>
      </c>
      <c r="B47" s="492"/>
      <c r="C47" s="492">
        <v>142</v>
      </c>
      <c r="D47" s="492">
        <v>70000</v>
      </c>
      <c r="E47" s="492">
        <f>C47*D47*8/12</f>
        <v>6626666.666666667</v>
      </c>
      <c r="F47" s="588"/>
      <c r="G47" s="616">
        <v>138</v>
      </c>
      <c r="H47" s="394">
        <v>81700</v>
      </c>
      <c r="I47" s="616">
        <f>G47*H47*8/12</f>
        <v>7516400</v>
      </c>
      <c r="J47" s="425"/>
    </row>
    <row r="48" spans="1:18" ht="24" x14ac:dyDescent="0.2">
      <c r="A48" s="489" t="s">
        <v>976</v>
      </c>
      <c r="B48" s="492"/>
      <c r="C48" s="492"/>
      <c r="D48" s="492"/>
      <c r="E48" s="492"/>
      <c r="F48" s="588"/>
      <c r="G48" s="393">
        <v>0</v>
      </c>
      <c r="H48" s="394">
        <v>80000</v>
      </c>
      <c r="I48" s="393">
        <v>0</v>
      </c>
      <c r="J48" s="425"/>
    </row>
    <row r="49" spans="1:12" ht="24" x14ac:dyDescent="0.2">
      <c r="A49" s="489" t="s">
        <v>926</v>
      </c>
      <c r="B49" s="492"/>
      <c r="C49" s="492">
        <v>142</v>
      </c>
      <c r="D49" s="492">
        <v>70000</v>
      </c>
      <c r="E49" s="492">
        <f>C49*D49*4/12</f>
        <v>3313333.3333333335</v>
      </c>
      <c r="F49" s="551"/>
      <c r="G49" s="393">
        <v>138</v>
      </c>
      <c r="H49" s="394">
        <v>81700</v>
      </c>
      <c r="I49" s="616">
        <f>G49*H49*4/12</f>
        <v>3758200</v>
      </c>
      <c r="J49" s="425"/>
    </row>
    <row r="50" spans="1:12" ht="24" x14ac:dyDescent="0.2">
      <c r="A50" s="489" t="s">
        <v>977</v>
      </c>
      <c r="B50" s="492"/>
      <c r="C50" s="492"/>
      <c r="D50" s="492"/>
      <c r="E50" s="492"/>
      <c r="F50" s="551"/>
      <c r="G50" s="393">
        <v>0</v>
      </c>
      <c r="H50" s="394">
        <v>80000</v>
      </c>
      <c r="I50" s="393">
        <v>0</v>
      </c>
      <c r="J50" s="425"/>
    </row>
    <row r="51" spans="1:12" ht="12.75" x14ac:dyDescent="0.2">
      <c r="A51" s="397" t="s">
        <v>927</v>
      </c>
      <c r="B51" s="492"/>
      <c r="C51" s="492"/>
      <c r="D51" s="492"/>
      <c r="E51" s="492"/>
      <c r="F51" s="449"/>
      <c r="G51" s="497"/>
      <c r="H51" s="497"/>
      <c r="I51" s="449"/>
      <c r="J51" s="425"/>
    </row>
    <row r="52" spans="1:12" ht="48" x14ac:dyDescent="0.2">
      <c r="A52" s="489" t="s">
        <v>1068</v>
      </c>
      <c r="B52" s="492"/>
      <c r="C52" s="492">
        <v>5</v>
      </c>
      <c r="D52" s="555" t="s">
        <v>307</v>
      </c>
      <c r="E52" s="492">
        <v>1760000</v>
      </c>
      <c r="F52" s="449"/>
      <c r="G52" s="621">
        <v>4</v>
      </c>
      <c r="H52" s="393">
        <v>401000</v>
      </c>
      <c r="I52" s="616">
        <f>G52*H52</f>
        <v>1604000</v>
      </c>
      <c r="J52" s="425"/>
    </row>
    <row r="53" spans="1:12" ht="48" x14ac:dyDescent="0.2">
      <c r="A53" s="489" t="s">
        <v>1069</v>
      </c>
      <c r="B53" s="492"/>
      <c r="C53" s="492"/>
      <c r="D53" s="492"/>
      <c r="E53" s="492"/>
      <c r="F53" s="449"/>
      <c r="G53" s="392">
        <v>0</v>
      </c>
      <c r="H53" s="393">
        <v>367583</v>
      </c>
      <c r="I53" s="393">
        <f>G53*H53</f>
        <v>0</v>
      </c>
      <c r="J53" s="425"/>
      <c r="K53" s="617">
        <f>SUM(I40:I53)</f>
        <v>87961100</v>
      </c>
      <c r="L53" s="6" t="s">
        <v>945</v>
      </c>
    </row>
    <row r="54" spans="1:12" ht="12.75" x14ac:dyDescent="0.2">
      <c r="A54" s="489"/>
      <c r="B54" s="492"/>
      <c r="C54" s="492"/>
      <c r="D54" s="492"/>
      <c r="E54" s="492"/>
      <c r="F54" s="449"/>
      <c r="G54" s="497"/>
      <c r="H54" s="497"/>
      <c r="I54" s="449"/>
      <c r="J54" s="425"/>
      <c r="K54" s="498"/>
    </row>
    <row r="55" spans="1:12" ht="12.75" x14ac:dyDescent="0.2">
      <c r="A55" s="499" t="s">
        <v>85</v>
      </c>
      <c r="B55" s="492"/>
      <c r="C55" s="492"/>
      <c r="D55" s="492"/>
      <c r="E55" s="492"/>
      <c r="F55" s="449"/>
      <c r="G55" s="497"/>
      <c r="H55" s="497"/>
      <c r="I55" s="449"/>
      <c r="J55" s="425"/>
    </row>
    <row r="56" spans="1:12" ht="12.75" x14ac:dyDescent="0.2">
      <c r="A56" s="496" t="s">
        <v>1070</v>
      </c>
      <c r="B56" s="492"/>
      <c r="C56" s="492"/>
      <c r="D56" s="492"/>
      <c r="E56" s="492">
        <v>0</v>
      </c>
      <c r="F56" s="449"/>
      <c r="G56" s="497"/>
      <c r="H56" s="497"/>
      <c r="I56" s="393">
        <v>0</v>
      </c>
      <c r="J56" s="427"/>
    </row>
    <row r="57" spans="1:12" ht="24" x14ac:dyDescent="0.2">
      <c r="A57" s="489" t="s">
        <v>887</v>
      </c>
      <c r="B57" s="492"/>
      <c r="C57" s="492"/>
      <c r="D57" s="492"/>
      <c r="E57" s="495">
        <v>0</v>
      </c>
      <c r="F57" s="449"/>
      <c r="G57" s="497"/>
      <c r="H57" s="497"/>
      <c r="I57" s="393">
        <v>0</v>
      </c>
      <c r="J57" s="425"/>
    </row>
    <row r="58" spans="1:12" ht="12.75" x14ac:dyDescent="0.2">
      <c r="A58" s="397" t="s">
        <v>888</v>
      </c>
      <c r="B58" s="492"/>
      <c r="C58" s="492"/>
      <c r="D58" s="492"/>
      <c r="E58" s="492"/>
      <c r="F58" s="449"/>
      <c r="G58" s="497"/>
      <c r="H58" s="497"/>
      <c r="I58" s="449"/>
      <c r="J58" s="425"/>
    </row>
    <row r="59" spans="1:12" ht="12.75" x14ac:dyDescent="0.2">
      <c r="A59" s="397" t="s">
        <v>889</v>
      </c>
      <c r="B59" s="492"/>
      <c r="C59" s="492"/>
      <c r="D59" s="492"/>
      <c r="E59" s="492"/>
      <c r="F59" s="449"/>
      <c r="G59" s="497"/>
      <c r="H59" s="497"/>
      <c r="I59" s="449"/>
      <c r="J59" s="425"/>
    </row>
    <row r="60" spans="1:12" ht="12.75" x14ac:dyDescent="0.2">
      <c r="A60" s="397" t="s">
        <v>890</v>
      </c>
      <c r="B60" s="492"/>
      <c r="C60" s="492"/>
      <c r="D60" s="492"/>
      <c r="E60" s="492"/>
      <c r="F60" s="449"/>
      <c r="G60" s="497"/>
      <c r="H60" s="497"/>
      <c r="I60" s="449"/>
      <c r="J60" s="425"/>
    </row>
    <row r="61" spans="1:12" ht="36" x14ac:dyDescent="0.2">
      <c r="A61" s="503" t="s">
        <v>1071</v>
      </c>
      <c r="B61" s="496"/>
      <c r="C61" s="505"/>
      <c r="D61" s="492"/>
      <c r="E61" s="492">
        <f>C61*D61/2</f>
        <v>0</v>
      </c>
      <c r="F61" s="394">
        <v>7822</v>
      </c>
      <c r="G61" s="506"/>
      <c r="H61" s="497"/>
      <c r="I61" s="449"/>
      <c r="J61" s="427"/>
    </row>
    <row r="62" spans="1:12" ht="24" x14ac:dyDescent="0.2">
      <c r="A62" s="489" t="s">
        <v>928</v>
      </c>
      <c r="B62" s="492"/>
      <c r="C62" s="496"/>
      <c r="D62" s="492"/>
      <c r="E62" s="492"/>
      <c r="F62" s="449"/>
      <c r="G62" s="399">
        <v>0</v>
      </c>
      <c r="H62" s="497"/>
      <c r="I62" s="449"/>
      <c r="J62" s="427"/>
    </row>
    <row r="63" spans="1:12" ht="12.75" x14ac:dyDescent="0.2">
      <c r="A63" s="397" t="s">
        <v>929</v>
      </c>
      <c r="B63" s="492"/>
      <c r="C63" s="496"/>
      <c r="D63" s="492"/>
      <c r="E63" s="492"/>
      <c r="F63" s="449"/>
      <c r="G63" s="398">
        <v>1</v>
      </c>
      <c r="H63" s="497"/>
      <c r="I63" s="449"/>
      <c r="J63" s="425"/>
    </row>
    <row r="64" spans="1:12" ht="12.75" x14ac:dyDescent="0.2">
      <c r="A64" s="397" t="s">
        <v>894</v>
      </c>
      <c r="B64" s="492"/>
      <c r="C64" s="507">
        <v>0.97299999999999998</v>
      </c>
      <c r="D64" s="492">
        <v>3000000</v>
      </c>
      <c r="E64" s="492"/>
      <c r="F64" s="449"/>
      <c r="G64" s="398">
        <v>2</v>
      </c>
      <c r="H64" s="394">
        <v>3000000</v>
      </c>
      <c r="I64" s="393">
        <f>(2*1+0)*3000000</f>
        <v>6000000</v>
      </c>
      <c r="J64" s="425"/>
    </row>
    <row r="65" spans="1:12" ht="12.75" x14ac:dyDescent="0.2">
      <c r="A65" s="397" t="s">
        <v>895</v>
      </c>
      <c r="B65" s="508"/>
      <c r="C65" s="492">
        <v>80</v>
      </c>
      <c r="D65" s="492">
        <v>55360</v>
      </c>
      <c r="E65" s="492">
        <f>C65*D65</f>
        <v>4428800</v>
      </c>
      <c r="F65" s="551"/>
      <c r="G65" s="394">
        <v>80</v>
      </c>
      <c r="H65" s="394">
        <v>55360</v>
      </c>
      <c r="I65" s="394">
        <f>G65*H65</f>
        <v>4428800</v>
      </c>
      <c r="J65" s="425"/>
    </row>
    <row r="66" spans="1:12" ht="12.75" x14ac:dyDescent="0.2">
      <c r="A66" s="397" t="s">
        <v>896</v>
      </c>
      <c r="B66" s="508"/>
      <c r="C66" s="492">
        <v>55</v>
      </c>
      <c r="D66" s="492">
        <v>145000</v>
      </c>
      <c r="E66" s="492">
        <f>C66*D66</f>
        <v>7975000</v>
      </c>
      <c r="F66" s="449"/>
      <c r="G66" s="492"/>
      <c r="H66" s="492"/>
      <c r="I66" s="492"/>
      <c r="J66" s="425"/>
    </row>
    <row r="67" spans="1:12" ht="12.75" x14ac:dyDescent="0.2">
      <c r="A67" s="397" t="s">
        <v>930</v>
      </c>
      <c r="B67" s="508"/>
      <c r="C67" s="492"/>
      <c r="D67" s="492"/>
      <c r="E67" s="492"/>
      <c r="F67" s="551"/>
      <c r="G67" s="622">
        <v>5</v>
      </c>
      <c r="H67" s="394">
        <v>25000</v>
      </c>
      <c r="I67" s="622">
        <f>G67*H67</f>
        <v>125000</v>
      </c>
      <c r="J67" s="425"/>
    </row>
    <row r="68" spans="1:12" ht="12.75" x14ac:dyDescent="0.2">
      <c r="A68" s="397" t="s">
        <v>931</v>
      </c>
      <c r="B68" s="508"/>
      <c r="C68" s="492"/>
      <c r="D68" s="492"/>
      <c r="E68" s="492"/>
      <c r="F68" s="551"/>
      <c r="G68" s="622">
        <v>49</v>
      </c>
      <c r="H68" s="394">
        <v>210000</v>
      </c>
      <c r="I68" s="622">
        <f>G68*H68</f>
        <v>10290000</v>
      </c>
      <c r="J68" s="425"/>
    </row>
    <row r="69" spans="1:12" ht="12.75" x14ac:dyDescent="0.2">
      <c r="A69" s="489" t="s">
        <v>932</v>
      </c>
      <c r="B69" s="556"/>
      <c r="C69" s="394">
        <v>23</v>
      </c>
      <c r="D69" s="394">
        <v>109000</v>
      </c>
      <c r="E69" s="394">
        <f>C69*D69</f>
        <v>2507000</v>
      </c>
      <c r="F69" s="393"/>
      <c r="G69" s="622">
        <v>25</v>
      </c>
      <c r="H69" s="394">
        <v>109000</v>
      </c>
      <c r="I69" s="622">
        <f>G69*H69</f>
        <v>2725000</v>
      </c>
      <c r="J69" s="425"/>
    </row>
    <row r="70" spans="1:12" ht="12.75" x14ac:dyDescent="0.2">
      <c r="A70" s="489" t="s">
        <v>898</v>
      </c>
      <c r="B70" s="556"/>
      <c r="C70" s="394"/>
      <c r="D70" s="394"/>
      <c r="E70" s="394"/>
      <c r="F70" s="393"/>
      <c r="G70" s="392"/>
      <c r="H70" s="392"/>
      <c r="I70" s="393"/>
      <c r="J70" s="425"/>
    </row>
    <row r="71" spans="1:12" ht="24" x14ac:dyDescent="0.2">
      <c r="A71" s="489" t="s">
        <v>1072</v>
      </c>
      <c r="B71" s="508"/>
      <c r="C71" s="492"/>
      <c r="D71" s="492"/>
      <c r="E71" s="492"/>
      <c r="F71" s="449"/>
      <c r="G71" s="497"/>
      <c r="H71" s="497"/>
      <c r="I71" s="449"/>
      <c r="J71" s="425"/>
    </row>
    <row r="72" spans="1:12" ht="24" x14ac:dyDescent="0.2">
      <c r="A72" s="503" t="s">
        <v>946</v>
      </c>
      <c r="B72" s="508"/>
      <c r="C72" s="492">
        <v>15</v>
      </c>
      <c r="D72" s="492">
        <v>2606040</v>
      </c>
      <c r="E72" s="492">
        <f>C72*D72</f>
        <v>39090600</v>
      </c>
      <c r="F72" s="551"/>
      <c r="G72" s="394">
        <v>15</v>
      </c>
      <c r="H72" s="394">
        <v>2606040</v>
      </c>
      <c r="I72" s="394">
        <f>G72*H72</f>
        <v>39090600</v>
      </c>
      <c r="J72" s="425"/>
    </row>
    <row r="73" spans="1:12" ht="36" x14ac:dyDescent="0.2">
      <c r="A73" s="397" t="s">
        <v>903</v>
      </c>
      <c r="B73" s="508"/>
      <c r="C73" s="492"/>
      <c r="D73" s="492"/>
      <c r="E73" s="495">
        <v>37834000</v>
      </c>
      <c r="F73" s="551" t="s">
        <v>1073</v>
      </c>
      <c r="G73" s="497"/>
      <c r="H73" s="497"/>
      <c r="I73" s="449">
        <v>30040000</v>
      </c>
      <c r="J73" s="429"/>
    </row>
    <row r="74" spans="1:12" ht="12.75" x14ac:dyDescent="0.2">
      <c r="A74" s="397" t="s">
        <v>1074</v>
      </c>
      <c r="B74" s="508"/>
      <c r="C74" s="492"/>
      <c r="D74" s="492"/>
      <c r="E74" s="492"/>
      <c r="F74" s="449"/>
      <c r="G74" s="497"/>
      <c r="H74" s="497"/>
      <c r="I74" s="449"/>
      <c r="J74" s="425"/>
    </row>
    <row r="75" spans="1:12" ht="12.75" x14ac:dyDescent="0.2">
      <c r="A75" s="397" t="s">
        <v>1075</v>
      </c>
      <c r="B75" s="492"/>
      <c r="C75" s="501">
        <v>12.33</v>
      </c>
      <c r="D75" s="492">
        <v>1632000</v>
      </c>
      <c r="E75" s="492">
        <f>C75*D75</f>
        <v>20122560</v>
      </c>
      <c r="F75" s="623" t="s">
        <v>1114</v>
      </c>
      <c r="G75" s="395">
        <v>14.4</v>
      </c>
      <c r="H75" s="612">
        <v>1900000</v>
      </c>
      <c r="I75" s="394">
        <f>G75*H75</f>
        <v>27360000</v>
      </c>
      <c r="J75" s="430"/>
    </row>
    <row r="76" spans="1:12" ht="36" x14ac:dyDescent="0.2">
      <c r="A76" s="397" t="s">
        <v>1076</v>
      </c>
      <c r="B76" s="492"/>
      <c r="C76" s="492"/>
      <c r="D76" s="492"/>
      <c r="E76" s="495">
        <v>7038795</v>
      </c>
      <c r="F76" s="551" t="s">
        <v>1073</v>
      </c>
      <c r="G76" s="497"/>
      <c r="H76" s="497"/>
      <c r="I76" s="449">
        <v>13278900</v>
      </c>
      <c r="J76" s="431"/>
    </row>
    <row r="77" spans="1:12" ht="24" x14ac:dyDescent="0.2">
      <c r="A77" s="489" t="s">
        <v>1077</v>
      </c>
      <c r="B77" s="492"/>
      <c r="C77" s="492"/>
      <c r="D77" s="492"/>
      <c r="E77" s="495"/>
      <c r="F77" s="551"/>
      <c r="G77" s="616">
        <v>0</v>
      </c>
      <c r="H77" s="393">
        <v>285</v>
      </c>
      <c r="I77" s="616">
        <f>G77*H77</f>
        <v>0</v>
      </c>
      <c r="J77" s="425"/>
    </row>
    <row r="78" spans="1:12" ht="12.75" x14ac:dyDescent="0.2">
      <c r="A78" s="489" t="s">
        <v>1078</v>
      </c>
      <c r="B78" s="492"/>
      <c r="C78" s="492"/>
      <c r="D78" s="492"/>
      <c r="E78" s="511"/>
      <c r="F78" s="551"/>
      <c r="G78" s="554"/>
      <c r="H78" s="393"/>
      <c r="I78" s="393"/>
      <c r="J78" s="425"/>
      <c r="K78" s="498">
        <f>SUM(I56:I82)</f>
        <v>147563700</v>
      </c>
      <c r="L78" s="6" t="s">
        <v>947</v>
      </c>
    </row>
    <row r="79" spans="1:12" ht="12.75" x14ac:dyDescent="0.2">
      <c r="A79" s="489" t="s">
        <v>1079</v>
      </c>
      <c r="B79" s="492"/>
      <c r="C79" s="492"/>
      <c r="D79" s="492"/>
      <c r="E79" s="511"/>
      <c r="F79" s="551"/>
      <c r="G79" s="554"/>
      <c r="H79" s="393"/>
      <c r="I79" s="393"/>
      <c r="J79" s="425"/>
      <c r="K79" s="498"/>
    </row>
    <row r="80" spans="1:12" ht="36" x14ac:dyDescent="0.2">
      <c r="A80" s="489" t="s">
        <v>1080</v>
      </c>
      <c r="B80" s="492"/>
      <c r="C80" s="492"/>
      <c r="D80" s="492"/>
      <c r="E80" s="511"/>
      <c r="F80" s="588" t="s">
        <v>1081</v>
      </c>
      <c r="G80" s="554">
        <v>1.8</v>
      </c>
      <c r="H80" s="393">
        <v>2993000</v>
      </c>
      <c r="I80" s="393">
        <f>G80*H80</f>
        <v>5387400</v>
      </c>
      <c r="J80" s="425"/>
      <c r="K80" s="498"/>
    </row>
    <row r="81" spans="1:14" ht="36" x14ac:dyDescent="0.2">
      <c r="A81" s="489" t="s">
        <v>1082</v>
      </c>
      <c r="B81" s="492"/>
      <c r="C81" s="492"/>
      <c r="D81" s="492"/>
      <c r="E81" s="511"/>
      <c r="F81" s="588" t="s">
        <v>1083</v>
      </c>
      <c r="G81" s="554">
        <v>2</v>
      </c>
      <c r="H81" s="393">
        <v>4419000</v>
      </c>
      <c r="I81" s="393">
        <f>G81*H81</f>
        <v>8838000</v>
      </c>
      <c r="J81" s="425"/>
      <c r="K81" s="498"/>
    </row>
    <row r="82" spans="1:14" ht="24" x14ac:dyDescent="0.2">
      <c r="A82" s="489" t="s">
        <v>1084</v>
      </c>
      <c r="B82" s="492"/>
      <c r="C82" s="492"/>
      <c r="D82" s="492"/>
      <c r="E82" s="511"/>
      <c r="F82" s="551"/>
      <c r="G82" s="554"/>
      <c r="H82" s="393">
        <v>0</v>
      </c>
      <c r="I82" s="393">
        <v>0</v>
      </c>
      <c r="J82" s="425"/>
      <c r="K82" s="498"/>
    </row>
    <row r="83" spans="1:14" ht="12.75" x14ac:dyDescent="0.2">
      <c r="A83" s="489"/>
      <c r="B83" s="492"/>
      <c r="C83" s="492"/>
      <c r="D83" s="492"/>
      <c r="E83" s="511"/>
      <c r="F83" s="551"/>
      <c r="G83" s="554"/>
      <c r="H83" s="393"/>
      <c r="I83" s="393"/>
      <c r="J83" s="425"/>
      <c r="K83" s="498"/>
    </row>
    <row r="84" spans="1:14" ht="12.75" x14ac:dyDescent="0.2">
      <c r="A84" s="397" t="s">
        <v>909</v>
      </c>
      <c r="B84" s="492"/>
      <c r="C84" s="492"/>
      <c r="D84" s="492"/>
      <c r="E84" s="511"/>
      <c r="F84" s="449"/>
      <c r="G84" s="497"/>
      <c r="H84" s="497"/>
      <c r="I84" s="449"/>
      <c r="J84" s="425"/>
    </row>
    <row r="85" spans="1:14" ht="12.75" x14ac:dyDescent="0.2">
      <c r="A85" s="397" t="s">
        <v>910</v>
      </c>
      <c r="B85" s="492"/>
      <c r="C85" s="492"/>
      <c r="D85" s="492"/>
      <c r="E85" s="511"/>
      <c r="F85" s="449"/>
      <c r="G85" s="497"/>
      <c r="H85" s="497"/>
      <c r="I85" s="449"/>
      <c r="J85" s="425"/>
    </row>
    <row r="86" spans="1:14" ht="12.75" x14ac:dyDescent="0.2">
      <c r="A86" s="397" t="s">
        <v>911</v>
      </c>
      <c r="B86" s="492"/>
      <c r="C86" s="492">
        <v>4865</v>
      </c>
      <c r="D86" s="492">
        <v>1140</v>
      </c>
      <c r="E86" s="512"/>
      <c r="F86" s="449"/>
      <c r="G86" s="394">
        <v>4705</v>
      </c>
      <c r="H86" s="612">
        <v>1210</v>
      </c>
      <c r="I86" s="207">
        <f>G86*H86</f>
        <v>5693050</v>
      </c>
      <c r="J86" s="425"/>
    </row>
    <row r="87" spans="1:14" ht="48" x14ac:dyDescent="0.2">
      <c r="A87" s="489" t="s">
        <v>912</v>
      </c>
      <c r="B87" s="492"/>
      <c r="C87" s="492"/>
      <c r="D87" s="492"/>
      <c r="E87" s="512"/>
      <c r="F87" s="588" t="s">
        <v>1085</v>
      </c>
      <c r="G87" s="492"/>
      <c r="H87" s="492"/>
      <c r="I87" s="207">
        <v>0</v>
      </c>
      <c r="J87" s="425"/>
    </row>
    <row r="88" spans="1:14" ht="48" x14ac:dyDescent="0.2">
      <c r="A88" s="489" t="s">
        <v>1086</v>
      </c>
      <c r="B88" s="492"/>
      <c r="C88" s="492"/>
      <c r="D88" s="492"/>
      <c r="E88" s="512"/>
      <c r="F88" s="588" t="s">
        <v>1087</v>
      </c>
      <c r="G88" s="492"/>
      <c r="H88" s="492"/>
      <c r="I88" s="207">
        <v>0</v>
      </c>
      <c r="J88" s="425"/>
    </row>
    <row r="89" spans="1:14" ht="12.75" x14ac:dyDescent="0.2">
      <c r="A89" s="503" t="s">
        <v>1088</v>
      </c>
      <c r="B89" s="508"/>
      <c r="C89" s="492"/>
      <c r="D89" s="506"/>
      <c r="E89" s="492"/>
      <c r="F89" s="449"/>
      <c r="G89" s="497"/>
      <c r="H89" s="497"/>
      <c r="I89" s="449"/>
      <c r="J89" s="425"/>
      <c r="K89" s="498">
        <f>SUM(I86+I87)</f>
        <v>5693050</v>
      </c>
      <c r="L89" s="6" t="s">
        <v>948</v>
      </c>
    </row>
    <row r="90" spans="1:14" ht="24" x14ac:dyDescent="0.2">
      <c r="A90" s="513" t="s">
        <v>1089</v>
      </c>
      <c r="B90" s="557"/>
      <c r="C90" s="558"/>
      <c r="D90" s="394"/>
      <c r="E90" s="394"/>
      <c r="F90" s="559"/>
      <c r="G90" s="392"/>
      <c r="H90" s="392"/>
      <c r="I90" s="449"/>
      <c r="J90" s="425"/>
      <c r="K90" s="498"/>
      <c r="L90" s="498">
        <f>I15+I18+I21+I24+I27+I30+I33</f>
        <v>-123432901</v>
      </c>
      <c r="M90" s="560" t="s">
        <v>949</v>
      </c>
      <c r="N90" s="206"/>
    </row>
    <row r="91" spans="1:14" ht="12.75" x14ac:dyDescent="0.2">
      <c r="A91" s="538" t="s">
        <v>1090</v>
      </c>
      <c r="B91" s="561"/>
      <c r="C91" s="562"/>
      <c r="D91" s="563"/>
      <c r="E91" s="563"/>
      <c r="F91" s="564"/>
      <c r="G91" s="565"/>
      <c r="H91" s="565"/>
      <c r="I91" s="566">
        <v>0</v>
      </c>
      <c r="J91" s="425"/>
      <c r="K91" s="498"/>
      <c r="L91" s="498"/>
      <c r="M91" s="560"/>
      <c r="N91" s="206"/>
    </row>
    <row r="92" spans="1:14" ht="12.75" x14ac:dyDescent="0.2">
      <c r="A92" s="538"/>
      <c r="B92" s="561"/>
      <c r="C92" s="562"/>
      <c r="D92" s="563"/>
      <c r="E92" s="563"/>
      <c r="F92" s="561"/>
      <c r="G92" s="565"/>
      <c r="H92" s="565"/>
      <c r="I92" s="519"/>
      <c r="J92" s="425"/>
      <c r="K92" s="498"/>
      <c r="L92" s="498"/>
      <c r="N92" s="206"/>
    </row>
    <row r="93" spans="1:14" ht="12.75" x14ac:dyDescent="0.2">
      <c r="A93" s="538" t="s">
        <v>933</v>
      </c>
      <c r="B93" s="561"/>
      <c r="C93" s="562"/>
      <c r="D93" s="563"/>
      <c r="E93" s="563"/>
      <c r="F93" s="561"/>
      <c r="G93" s="565"/>
      <c r="H93" s="565"/>
      <c r="I93" s="519"/>
      <c r="J93" s="425"/>
      <c r="K93" s="498"/>
      <c r="L93" s="498"/>
      <c r="N93" s="206"/>
    </row>
    <row r="94" spans="1:14" ht="12.75" x14ac:dyDescent="0.2">
      <c r="A94" s="538" t="s">
        <v>934</v>
      </c>
      <c r="B94" s="561"/>
      <c r="C94" s="562"/>
      <c r="D94" s="563"/>
      <c r="E94" s="563"/>
      <c r="F94" s="561"/>
      <c r="G94" s="565"/>
      <c r="H94" s="565"/>
      <c r="I94" s="566">
        <v>0</v>
      </c>
      <c r="J94" s="425"/>
      <c r="K94" s="498"/>
      <c r="L94" s="498"/>
      <c r="N94" s="206"/>
    </row>
    <row r="95" spans="1:14" ht="12.75" x14ac:dyDescent="0.2">
      <c r="A95" s="539" t="s">
        <v>935</v>
      </c>
      <c r="B95" s="561"/>
      <c r="C95" s="562"/>
      <c r="D95" s="563"/>
      <c r="E95" s="563"/>
      <c r="F95" s="561"/>
      <c r="G95" s="565"/>
      <c r="H95" s="565"/>
      <c r="I95" s="566">
        <v>0</v>
      </c>
      <c r="J95" s="425"/>
      <c r="K95" s="498">
        <f>I94+I95</f>
        <v>0</v>
      </c>
      <c r="L95" s="498" t="s">
        <v>950</v>
      </c>
      <c r="N95" s="206"/>
    </row>
    <row r="96" spans="1:14" ht="13.5" thickBot="1" x14ac:dyDescent="0.25">
      <c r="A96" s="515"/>
      <c r="B96" s="516"/>
      <c r="C96" s="517"/>
      <c r="D96" s="518"/>
      <c r="E96" s="517"/>
      <c r="F96" s="519"/>
      <c r="G96" s="520"/>
      <c r="H96" s="520"/>
      <c r="I96" s="519"/>
      <c r="J96" s="425"/>
    </row>
    <row r="97" spans="1:256" ht="12.75" thickBot="1" x14ac:dyDescent="0.25">
      <c r="A97" s="521" t="s">
        <v>914</v>
      </c>
      <c r="B97" s="522"/>
      <c r="C97" s="522"/>
      <c r="D97" s="523"/>
      <c r="E97" s="524" t="e">
        <f>E12+E14+E17+E20+E23+E28+E31+E34+E40+E41+#REF!+E42+E44+E47+E49+E52+E56+E57+E61+E62+E65+E66+E69+#REF!+E72+E73+E75+E76</f>
        <v>#REF!</v>
      </c>
      <c r="F97" s="1288">
        <f>I12+I16+I19+I22+I25+I28+I31+I34+I35+I36+I40+I41+I42+I43+I44+I45+I47+I48+I49+I50+I52+I53+I56+I57+I64+I65+I67+I68+I69+I72+I73+I75+I76+I77+I80+I81+I82+I86+I87+I88+I94+I95+I91</f>
        <v>789557318</v>
      </c>
      <c r="G97" s="1288"/>
      <c r="H97" s="1288"/>
      <c r="I97" s="1289"/>
      <c r="J97" s="7"/>
      <c r="K97" s="525">
        <f>K78+K53+K35+K89</f>
        <v>789557318</v>
      </c>
      <c r="L97" s="567" t="s">
        <v>951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568"/>
      <c r="B99" s="569"/>
      <c r="C99" s="569"/>
      <c r="D99" s="569"/>
      <c r="E99" s="570"/>
      <c r="F99" s="571"/>
      <c r="G99" s="571"/>
      <c r="H99" s="571"/>
      <c r="I99" s="571"/>
    </row>
    <row r="100" spans="1:256" ht="12.75" x14ac:dyDescent="0.2">
      <c r="A100" s="613" t="s">
        <v>1091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N47"/>
  <sheetViews>
    <sheetView workbookViewId="0">
      <pane ySplit="7" topLeftCell="A30" activePane="bottomLeft" state="frozen"/>
      <selection activeCell="B65" sqref="B65"/>
      <selection pane="bottomLeft" activeCell="C37" sqref="C37:N37"/>
    </sheetView>
  </sheetViews>
  <sheetFormatPr defaultColWidth="9.140625" defaultRowHeight="14.45" customHeight="1" x14ac:dyDescent="0.2"/>
  <cols>
    <col min="1" max="1" width="9.140625" style="10"/>
    <col min="2" max="2" width="5.140625" style="237" customWidth="1"/>
    <col min="3" max="3" width="50.42578125" style="14" customWidth="1"/>
    <col min="4" max="4" width="11.85546875" style="119" customWidth="1"/>
    <col min="5" max="5" width="12.7109375" style="119" customWidth="1"/>
    <col min="6" max="6" width="13.5703125" style="119" customWidth="1"/>
    <col min="7" max="9" width="0" style="120" hidden="1" customWidth="1"/>
    <col min="10" max="16384" width="9.140625" style="10"/>
  </cols>
  <sheetData>
    <row r="1" spans="2:14" ht="14.45" customHeight="1" x14ac:dyDescent="0.2">
      <c r="C1" s="1279" t="s">
        <v>1286</v>
      </c>
      <c r="D1" s="1279"/>
      <c r="E1" s="1279"/>
      <c r="F1" s="1279"/>
      <c r="G1" s="1279"/>
      <c r="H1" s="1279"/>
      <c r="I1" s="1279"/>
    </row>
    <row r="2" spans="2:14" ht="14.45" customHeight="1" x14ac:dyDescent="0.2">
      <c r="C2" s="1279"/>
      <c r="D2" s="1279"/>
      <c r="E2" s="1279"/>
      <c r="F2" s="1279"/>
      <c r="G2" s="1279"/>
      <c r="H2" s="1279"/>
      <c r="I2" s="1279"/>
    </row>
    <row r="3" spans="2:14" ht="14.45" customHeight="1" x14ac:dyDescent="0.2">
      <c r="B3" s="1284" t="s">
        <v>54</v>
      </c>
      <c r="C3" s="1269"/>
      <c r="D3" s="1269"/>
      <c r="E3" s="1269"/>
      <c r="F3" s="1269"/>
      <c r="G3" s="1269"/>
      <c r="H3" s="1269"/>
      <c r="I3" s="1269"/>
    </row>
    <row r="4" spans="2:14" s="11" customFormat="1" ht="14.45" customHeight="1" x14ac:dyDescent="0.2">
      <c r="B4" s="1290" t="s">
        <v>1102</v>
      </c>
      <c r="C4" s="1269"/>
      <c r="D4" s="1269"/>
      <c r="E4" s="1269"/>
      <c r="F4" s="1269"/>
      <c r="G4" s="1269"/>
      <c r="H4" s="1269"/>
      <c r="I4" s="1269"/>
    </row>
    <row r="5" spans="2:14" s="11" customFormat="1" ht="14.45" customHeight="1" x14ac:dyDescent="0.15">
      <c r="B5" s="131"/>
    </row>
    <row r="6" spans="2:14" ht="14.45" customHeight="1" x14ac:dyDescent="0.2">
      <c r="B6" s="1226" t="s">
        <v>449</v>
      </c>
      <c r="C6" s="1269"/>
      <c r="D6" s="1269"/>
      <c r="E6" s="1269"/>
      <c r="F6" s="1269"/>
      <c r="G6" s="1269"/>
      <c r="H6" s="1269"/>
      <c r="I6" s="1269"/>
    </row>
    <row r="7" spans="2:14" s="12" customFormat="1" ht="36.75" customHeight="1" x14ac:dyDescent="0.2">
      <c r="B7" s="1291" t="s">
        <v>56</v>
      </c>
      <c r="C7" s="1292" t="s">
        <v>86</v>
      </c>
      <c r="D7" s="1293" t="s">
        <v>1165</v>
      </c>
      <c r="E7" s="1293"/>
      <c r="F7" s="1293"/>
      <c r="G7" s="128"/>
      <c r="J7" s="1230" t="s">
        <v>1294</v>
      </c>
      <c r="K7" s="1230"/>
      <c r="L7" s="1230" t="s">
        <v>1292</v>
      </c>
      <c r="M7" s="1230"/>
      <c r="N7" s="1230"/>
    </row>
    <row r="8" spans="2:14" s="12" customFormat="1" ht="40.9" customHeight="1" x14ac:dyDescent="0.2">
      <c r="B8" s="1291"/>
      <c r="C8" s="1292"/>
      <c r="D8" s="118" t="s">
        <v>62</v>
      </c>
      <c r="E8" s="118" t="s">
        <v>63</v>
      </c>
      <c r="F8" s="118" t="s">
        <v>64</v>
      </c>
      <c r="G8" s="128"/>
      <c r="J8" s="757" t="s">
        <v>62</v>
      </c>
      <c r="K8" s="757" t="s">
        <v>63</v>
      </c>
      <c r="L8" s="757" t="s">
        <v>62</v>
      </c>
      <c r="M8" s="757" t="s">
        <v>63</v>
      </c>
      <c r="N8" s="757" t="s">
        <v>64</v>
      </c>
    </row>
    <row r="9" spans="2:14" s="12" customFormat="1" ht="10.5" customHeight="1" x14ac:dyDescent="0.2">
      <c r="B9" s="238" t="s">
        <v>494</v>
      </c>
      <c r="C9" s="142"/>
      <c r="D9" s="143"/>
      <c r="E9" s="143"/>
      <c r="F9" s="335"/>
      <c r="G9" s="128"/>
      <c r="J9" s="387"/>
    </row>
    <row r="10" spans="2:14" s="12" customFormat="1" ht="14.45" customHeight="1" x14ac:dyDescent="0.2">
      <c r="B10" s="238" t="s">
        <v>502</v>
      </c>
      <c r="C10" s="144" t="s">
        <v>87</v>
      </c>
      <c r="D10" s="143"/>
      <c r="E10" s="143"/>
      <c r="F10" s="335"/>
      <c r="G10" s="128"/>
      <c r="J10" s="387"/>
    </row>
    <row r="11" spans="2:14" s="12" customFormat="1" ht="14.45" customHeight="1" x14ac:dyDescent="0.2">
      <c r="B11" s="847" t="s">
        <v>503</v>
      </c>
      <c r="C11" s="848" t="s">
        <v>1249</v>
      </c>
      <c r="D11" s="780"/>
      <c r="E11" s="780"/>
      <c r="F11" s="780"/>
      <c r="G11" s="738"/>
      <c r="H11" s="766"/>
      <c r="I11" s="766"/>
      <c r="J11" s="766"/>
      <c r="K11" s="766"/>
      <c r="L11" s="766"/>
      <c r="M11" s="766"/>
      <c r="N11" s="766"/>
    </row>
    <row r="12" spans="2:14" s="12" customFormat="1" ht="14.45" customHeight="1" x14ac:dyDescent="0.2">
      <c r="B12" s="847" t="s">
        <v>504</v>
      </c>
      <c r="C12" s="849" t="s">
        <v>103</v>
      </c>
      <c r="D12" s="723">
        <v>0</v>
      </c>
      <c r="E12" s="723">
        <v>203461</v>
      </c>
      <c r="F12" s="723">
        <f>SUM(D12:E12)</f>
        <v>203461</v>
      </c>
      <c r="G12" s="738"/>
      <c r="H12" s="766"/>
      <c r="I12" s="766"/>
      <c r="J12" s="766"/>
      <c r="K12" s="766"/>
      <c r="L12" s="766"/>
      <c r="M12" s="766"/>
      <c r="N12" s="766"/>
    </row>
    <row r="13" spans="2:14" s="12" customFormat="1" ht="14.45" customHeight="1" x14ac:dyDescent="0.2">
      <c r="B13" s="847" t="s">
        <v>505</v>
      </c>
      <c r="C13" s="849" t="s">
        <v>291</v>
      </c>
      <c r="D13" s="723"/>
      <c r="E13" s="723">
        <v>4136</v>
      </c>
      <c r="F13" s="723">
        <f>SUM(D13:E13)</f>
        <v>4136</v>
      </c>
      <c r="G13" s="738"/>
      <c r="H13" s="766"/>
      <c r="I13" s="766"/>
      <c r="J13" s="766"/>
      <c r="K13" s="766"/>
      <c r="L13" s="766"/>
      <c r="M13" s="766"/>
      <c r="N13" s="766"/>
    </row>
    <row r="14" spans="2:14" s="12" customFormat="1" ht="14.45" customHeight="1" x14ac:dyDescent="0.2">
      <c r="B14" s="847" t="s">
        <v>506</v>
      </c>
      <c r="C14" s="744" t="s">
        <v>104</v>
      </c>
      <c r="D14" s="723"/>
      <c r="E14" s="723">
        <v>0</v>
      </c>
      <c r="F14" s="723">
        <f>SUM(D14:E14)</f>
        <v>0</v>
      </c>
      <c r="G14" s="738"/>
      <c r="H14" s="766"/>
      <c r="I14" s="766"/>
      <c r="J14" s="766"/>
      <c r="K14" s="766"/>
      <c r="L14" s="766"/>
      <c r="M14" s="766"/>
      <c r="N14" s="766"/>
    </row>
    <row r="15" spans="2:14" s="12" customFormat="1" ht="14.45" customHeight="1" x14ac:dyDescent="0.2">
      <c r="B15" s="847" t="s">
        <v>507</v>
      </c>
      <c r="C15" s="744" t="s">
        <v>105</v>
      </c>
      <c r="D15" s="723"/>
      <c r="E15" s="723"/>
      <c r="F15" s="723"/>
      <c r="G15" s="738"/>
      <c r="H15" s="766"/>
      <c r="I15" s="766"/>
      <c r="J15" s="766"/>
      <c r="K15" s="766"/>
      <c r="L15" s="766"/>
      <c r="M15" s="766"/>
      <c r="N15" s="766"/>
    </row>
    <row r="16" spans="2:14" s="12" customFormat="1" ht="14.45" customHeight="1" x14ac:dyDescent="0.2">
      <c r="B16" s="847" t="s">
        <v>508</v>
      </c>
      <c r="C16" s="741" t="s">
        <v>1253</v>
      </c>
      <c r="D16" s="721">
        <f>SUM(D12:D15)</f>
        <v>0</v>
      </c>
      <c r="E16" s="721">
        <f>SUM(E12:E15)</f>
        <v>207597</v>
      </c>
      <c r="F16" s="721">
        <f>SUM(F12:F15)</f>
        <v>207597</v>
      </c>
      <c r="G16" s="738"/>
      <c r="H16" s="766"/>
      <c r="I16" s="766"/>
      <c r="J16" s="766"/>
      <c r="K16" s="766"/>
      <c r="L16" s="766"/>
      <c r="M16" s="766"/>
      <c r="N16" s="766"/>
    </row>
    <row r="17" spans="2:14" s="12" customFormat="1" ht="14.45" customHeight="1" x14ac:dyDescent="0.2">
      <c r="B17" s="847" t="s">
        <v>509</v>
      </c>
      <c r="C17" s="741"/>
      <c r="D17" s="721"/>
      <c r="E17" s="721"/>
      <c r="F17" s="721"/>
      <c r="G17" s="738"/>
      <c r="H17" s="766"/>
      <c r="I17" s="766"/>
      <c r="J17" s="766"/>
      <c r="K17" s="766"/>
      <c r="L17" s="766"/>
      <c r="M17" s="766"/>
      <c r="N17" s="766"/>
    </row>
    <row r="18" spans="2:14" s="12" customFormat="1" ht="14.45" customHeight="1" x14ac:dyDescent="0.2">
      <c r="B18" s="847" t="s">
        <v>551</v>
      </c>
      <c r="C18" s="850" t="s">
        <v>292</v>
      </c>
      <c r="D18" s="721"/>
      <c r="E18" s="721"/>
      <c r="F18" s="721"/>
      <c r="G18" s="738"/>
      <c r="H18" s="766"/>
      <c r="I18" s="766"/>
      <c r="J18" s="766"/>
      <c r="K18" s="766"/>
      <c r="L18" s="766"/>
      <c r="M18" s="766"/>
      <c r="N18" s="766"/>
    </row>
    <row r="19" spans="2:14" s="12" customFormat="1" ht="14.45" customHeight="1" x14ac:dyDescent="0.2">
      <c r="B19" s="847" t="s">
        <v>552</v>
      </c>
      <c r="C19" s="744"/>
      <c r="D19" s="721"/>
      <c r="E19" s="723"/>
      <c r="F19" s="723"/>
      <c r="G19" s="738"/>
      <c r="H19" s="766"/>
      <c r="I19" s="766"/>
      <c r="J19" s="766"/>
      <c r="K19" s="766"/>
      <c r="L19" s="766"/>
      <c r="M19" s="766"/>
      <c r="N19" s="766"/>
    </row>
    <row r="20" spans="2:14" s="12" customFormat="1" ht="14.45" customHeight="1" x14ac:dyDescent="0.2">
      <c r="B20" s="847" t="s">
        <v>553</v>
      </c>
      <c r="C20" s="741" t="s">
        <v>293</v>
      </c>
      <c r="D20" s="721">
        <f>D19</f>
        <v>0</v>
      </c>
      <c r="E20" s="721">
        <f>E19</f>
        <v>0</v>
      </c>
      <c r="F20" s="721">
        <f>F19</f>
        <v>0</v>
      </c>
      <c r="G20" s="738"/>
      <c r="H20" s="766"/>
      <c r="I20" s="766"/>
      <c r="J20" s="766"/>
      <c r="K20" s="766"/>
      <c r="L20" s="766"/>
      <c r="M20" s="766"/>
      <c r="N20" s="766"/>
    </row>
    <row r="21" spans="2:14" s="12" customFormat="1" ht="14.45" customHeight="1" x14ac:dyDescent="0.2">
      <c r="B21" s="847" t="s">
        <v>554</v>
      </c>
      <c r="C21" s="741"/>
      <c r="D21" s="721"/>
      <c r="E21" s="721"/>
      <c r="F21" s="721"/>
      <c r="G21" s="738"/>
      <c r="H21" s="766"/>
      <c r="I21" s="766"/>
      <c r="J21" s="766"/>
      <c r="K21" s="766"/>
      <c r="L21" s="766"/>
      <c r="M21" s="766"/>
      <c r="N21" s="766"/>
    </row>
    <row r="22" spans="2:14" s="12" customFormat="1" ht="14.45" customHeight="1" x14ac:dyDescent="0.2">
      <c r="B22" s="847" t="s">
        <v>555</v>
      </c>
      <c r="C22" s="851" t="s">
        <v>1250</v>
      </c>
      <c r="D22" s="721"/>
      <c r="E22" s="721"/>
      <c r="F22" s="721"/>
      <c r="G22" s="738"/>
      <c r="H22" s="766"/>
      <c r="I22" s="766"/>
      <c r="J22" s="766"/>
      <c r="K22" s="766"/>
      <c r="L22" s="766"/>
      <c r="M22" s="766"/>
      <c r="N22" s="766"/>
    </row>
    <row r="23" spans="2:14" s="12" customFormat="1" ht="14.45" customHeight="1" x14ac:dyDescent="0.2">
      <c r="B23" s="847" t="s">
        <v>556</v>
      </c>
      <c r="C23" s="744" t="s">
        <v>1245</v>
      </c>
      <c r="D23" s="723">
        <v>8750</v>
      </c>
      <c r="E23" s="723"/>
      <c r="F23" s="723">
        <f>D23+E23</f>
        <v>8750</v>
      </c>
      <c r="G23" s="738"/>
      <c r="H23" s="766"/>
      <c r="I23" s="766"/>
      <c r="J23" s="766"/>
      <c r="K23" s="766"/>
      <c r="L23" s="766"/>
      <c r="M23" s="766"/>
      <c r="N23" s="766"/>
    </row>
    <row r="24" spans="2:14" s="12" customFormat="1" ht="14.45" customHeight="1" x14ac:dyDescent="0.2">
      <c r="B24" s="847" t="s">
        <v>557</v>
      </c>
      <c r="C24" s="741" t="s">
        <v>1251</v>
      </c>
      <c r="D24" s="721">
        <f>SUM(D23)</f>
        <v>8750</v>
      </c>
      <c r="E24" s="721">
        <f t="shared" ref="E24:F24" si="0">SUM(E23)</f>
        <v>0</v>
      </c>
      <c r="F24" s="721">
        <f t="shared" si="0"/>
        <v>8750</v>
      </c>
      <c r="G24" s="738"/>
      <c r="H24" s="766"/>
      <c r="I24" s="766"/>
      <c r="J24" s="766"/>
      <c r="K24" s="766"/>
      <c r="L24" s="766"/>
      <c r="M24" s="766"/>
      <c r="N24" s="766"/>
    </row>
    <row r="25" spans="2:14" s="12" customFormat="1" ht="12" customHeight="1" x14ac:dyDescent="0.2">
      <c r="B25" s="847" t="s">
        <v>558</v>
      </c>
      <c r="C25" s="844"/>
      <c r="D25" s="780"/>
      <c r="E25" s="780"/>
      <c r="F25" s="780"/>
      <c r="G25" s="738"/>
      <c r="H25" s="766"/>
      <c r="I25" s="766"/>
      <c r="J25" s="766"/>
      <c r="K25" s="766"/>
      <c r="L25" s="766"/>
      <c r="M25" s="766"/>
      <c r="N25" s="766"/>
    </row>
    <row r="26" spans="2:14" s="11" customFormat="1" ht="14.45" customHeight="1" x14ac:dyDescent="0.2">
      <c r="B26" s="847" t="s">
        <v>560</v>
      </c>
      <c r="C26" s="852" t="s">
        <v>1001</v>
      </c>
      <c r="D26" s="721"/>
      <c r="E26" s="721"/>
      <c r="F26" s="721"/>
      <c r="G26" s="739"/>
      <c r="H26" s="740"/>
      <c r="I26" s="740"/>
      <c r="J26" s="740"/>
      <c r="K26" s="740"/>
      <c r="L26" s="740"/>
      <c r="M26" s="740"/>
      <c r="N26" s="740"/>
    </row>
    <row r="27" spans="2:14" s="11" customFormat="1" ht="27" customHeight="1" x14ac:dyDescent="0.2">
      <c r="B27" s="847" t="s">
        <v>561</v>
      </c>
      <c r="C27" s="853" t="s">
        <v>1200</v>
      </c>
      <c r="D27" s="721"/>
      <c r="E27" s="723">
        <v>93253</v>
      </c>
      <c r="F27" s="723">
        <f>SUM(D27:E27)</f>
        <v>93253</v>
      </c>
      <c r="G27" s="739"/>
      <c r="H27" s="740"/>
      <c r="I27" s="740"/>
      <c r="J27" s="740"/>
      <c r="K27" s="740"/>
      <c r="L27" s="740"/>
      <c r="M27" s="740"/>
      <c r="N27" s="740"/>
    </row>
    <row r="28" spans="2:14" s="11" customFormat="1" ht="27" customHeight="1" x14ac:dyDescent="0.2">
      <c r="B28" s="847"/>
      <c r="C28" s="853"/>
      <c r="D28" s="721"/>
      <c r="E28" s="723"/>
      <c r="F28" s="723"/>
      <c r="G28" s="739"/>
      <c r="H28" s="740"/>
      <c r="I28" s="740"/>
      <c r="J28" s="740"/>
      <c r="K28" s="740"/>
      <c r="L28" s="740"/>
      <c r="M28" s="740"/>
      <c r="N28" s="740"/>
    </row>
    <row r="29" spans="2:14" ht="14.45" customHeight="1" x14ac:dyDescent="0.2">
      <c r="B29" s="847" t="s">
        <v>562</v>
      </c>
      <c r="C29" s="741" t="s">
        <v>1246</v>
      </c>
      <c r="D29" s="721">
        <f>SUM(D27)</f>
        <v>0</v>
      </c>
      <c r="E29" s="721">
        <f t="shared" ref="E29:F29" si="1">SUM(E27)</f>
        <v>93253</v>
      </c>
      <c r="F29" s="721">
        <f t="shared" si="1"/>
        <v>93253</v>
      </c>
      <c r="G29" s="724"/>
      <c r="H29" s="725"/>
      <c r="I29" s="725"/>
      <c r="J29" s="725"/>
      <c r="K29" s="725"/>
      <c r="L29" s="725"/>
      <c r="M29" s="725"/>
      <c r="N29" s="725"/>
    </row>
    <row r="30" spans="2:14" ht="14.45" customHeight="1" x14ac:dyDescent="0.2">
      <c r="B30" s="847" t="s">
        <v>563</v>
      </c>
      <c r="C30" s="741"/>
      <c r="D30" s="721"/>
      <c r="E30" s="721"/>
      <c r="F30" s="721"/>
      <c r="G30" s="724"/>
      <c r="H30" s="725"/>
      <c r="I30" s="725"/>
      <c r="J30" s="725"/>
      <c r="K30" s="725"/>
      <c r="L30" s="725"/>
      <c r="M30" s="725"/>
      <c r="N30" s="725"/>
    </row>
    <row r="31" spans="2:14" ht="14.45" customHeight="1" x14ac:dyDescent="0.2">
      <c r="B31" s="847" t="s">
        <v>564</v>
      </c>
      <c r="C31" s="851" t="s">
        <v>174</v>
      </c>
      <c r="D31" s="721"/>
      <c r="E31" s="723"/>
      <c r="F31" s="723"/>
      <c r="G31" s="724"/>
      <c r="H31" s="725"/>
      <c r="I31" s="725"/>
      <c r="J31" s="725"/>
      <c r="K31" s="725"/>
      <c r="L31" s="725"/>
      <c r="M31" s="725"/>
      <c r="N31" s="725"/>
    </row>
    <row r="32" spans="2:14" ht="14.45" customHeight="1" x14ac:dyDescent="0.2">
      <c r="B32" s="847" t="s">
        <v>565</v>
      </c>
      <c r="C32" s="744"/>
      <c r="D32" s="721"/>
      <c r="E32" s="723"/>
      <c r="F32" s="723"/>
      <c r="G32" s="724"/>
      <c r="H32" s="725"/>
      <c r="I32" s="725"/>
      <c r="J32" s="725"/>
      <c r="K32" s="725"/>
      <c r="L32" s="725"/>
      <c r="M32" s="725"/>
      <c r="N32" s="725"/>
    </row>
    <row r="33" spans="2:14" ht="14.45" customHeight="1" x14ac:dyDescent="0.2">
      <c r="B33" s="847" t="s">
        <v>566</v>
      </c>
      <c r="C33" s="741" t="s">
        <v>1247</v>
      </c>
      <c r="D33" s="721"/>
      <c r="E33" s="721">
        <f>SUM(E32)</f>
        <v>0</v>
      </c>
      <c r="F33" s="721">
        <f>SUM(F32)</f>
        <v>0</v>
      </c>
      <c r="G33" s="724"/>
      <c r="H33" s="725"/>
      <c r="I33" s="725"/>
      <c r="J33" s="725"/>
      <c r="K33" s="725"/>
      <c r="L33" s="725"/>
      <c r="M33" s="725"/>
      <c r="N33" s="725"/>
    </row>
    <row r="34" spans="2:14" ht="14.45" customHeight="1" x14ac:dyDescent="0.2">
      <c r="B34" s="847" t="s">
        <v>567</v>
      </c>
      <c r="C34" s="741"/>
      <c r="D34" s="721"/>
      <c r="E34" s="721"/>
      <c r="F34" s="721"/>
      <c r="G34" s="724"/>
      <c r="H34" s="725"/>
      <c r="I34" s="725"/>
      <c r="J34" s="725"/>
      <c r="K34" s="725"/>
      <c r="L34" s="725"/>
      <c r="M34" s="725"/>
      <c r="N34" s="725"/>
    </row>
    <row r="35" spans="2:14" s="12" customFormat="1" ht="14.45" customHeight="1" x14ac:dyDescent="0.2">
      <c r="B35" s="847" t="s">
        <v>587</v>
      </c>
      <c r="C35" s="851" t="s">
        <v>106</v>
      </c>
      <c r="D35" s="738"/>
      <c r="E35" s="738"/>
      <c r="F35" s="738"/>
      <c r="G35" s="738"/>
      <c r="H35" s="766"/>
      <c r="I35" s="766"/>
      <c r="J35" s="766"/>
      <c r="K35" s="766"/>
      <c r="L35" s="766"/>
      <c r="M35" s="766"/>
      <c r="N35" s="766"/>
    </row>
    <row r="36" spans="2:14" s="12" customFormat="1" ht="14.45" customHeight="1" x14ac:dyDescent="0.2">
      <c r="B36" s="847" t="s">
        <v>588</v>
      </c>
      <c r="C36" s="744" t="s">
        <v>107</v>
      </c>
      <c r="D36" s="738"/>
      <c r="E36" s="723">
        <v>2870</v>
      </c>
      <c r="F36" s="723">
        <f>SUM(E36)</f>
        <v>2870</v>
      </c>
      <c r="G36" s="738"/>
      <c r="H36" s="766"/>
      <c r="I36" s="766"/>
      <c r="J36" s="766"/>
      <c r="K36" s="766"/>
      <c r="L36" s="766"/>
      <c r="M36" s="766"/>
      <c r="N36" s="766"/>
    </row>
    <row r="37" spans="2:14" s="12" customFormat="1" ht="14.45" customHeight="1" x14ac:dyDescent="0.2">
      <c r="B37" s="847" t="s">
        <v>589</v>
      </c>
      <c r="C37" s="741" t="s">
        <v>108</v>
      </c>
      <c r="D37" s="721">
        <f>SUM(D36:D36)</f>
        <v>0</v>
      </c>
      <c r="E37" s="721">
        <f>SUM(E36:E36)</f>
        <v>2870</v>
      </c>
      <c r="F37" s="721">
        <f>SUM(F36:F36)</f>
        <v>2870</v>
      </c>
      <c r="G37" s="780"/>
      <c r="H37" s="766"/>
      <c r="I37" s="766"/>
      <c r="J37" s="766"/>
      <c r="K37" s="766"/>
      <c r="L37" s="766"/>
      <c r="M37" s="766"/>
      <c r="N37" s="766"/>
    </row>
    <row r="38" spans="2:14" s="12" customFormat="1" ht="15.75" customHeight="1" x14ac:dyDescent="0.2">
      <c r="B38" s="847" t="s">
        <v>590</v>
      </c>
      <c r="C38" s="741"/>
      <c r="D38" s="738"/>
      <c r="E38" s="738"/>
      <c r="F38" s="738"/>
      <c r="G38" s="738"/>
      <c r="H38" s="766"/>
      <c r="I38" s="766"/>
      <c r="J38" s="766"/>
      <c r="K38" s="766"/>
      <c r="L38" s="766"/>
      <c r="M38" s="766"/>
      <c r="N38" s="766"/>
    </row>
    <row r="39" spans="2:14" s="12" customFormat="1" ht="14.45" customHeight="1" x14ac:dyDescent="0.2">
      <c r="B39" s="847" t="s">
        <v>591</v>
      </c>
      <c r="C39" s="741" t="s">
        <v>109</v>
      </c>
      <c r="D39" s="721">
        <f>D16+D29+D33+D37+D24</f>
        <v>8750</v>
      </c>
      <c r="E39" s="721">
        <f>E16+E29+E33+E37+E24</f>
        <v>303720</v>
      </c>
      <c r="F39" s="721">
        <f>F16+F29+F33+F37+F24</f>
        <v>312470</v>
      </c>
      <c r="G39" s="721" t="e">
        <f>G37+#REF!+G16+G20+#REF!</f>
        <v>#REF!</v>
      </c>
      <c r="H39" s="721" t="e">
        <f>H37+#REF!+H16+H20+#REF!</f>
        <v>#REF!</v>
      </c>
      <c r="I39" s="721" t="e">
        <f>I37+#REF!+I16+I20+#REF!</f>
        <v>#REF!</v>
      </c>
      <c r="J39" s="766"/>
      <c r="K39" s="766"/>
      <c r="L39" s="766"/>
      <c r="M39" s="766"/>
      <c r="N39" s="766"/>
    </row>
    <row r="40" spans="2:14" s="12" customFormat="1" ht="14.45" customHeight="1" x14ac:dyDescent="0.2">
      <c r="B40" s="847" t="s">
        <v>592</v>
      </c>
      <c r="C40" s="741"/>
      <c r="D40" s="721"/>
      <c r="E40" s="721"/>
      <c r="F40" s="721"/>
      <c r="G40" s="721"/>
      <c r="H40" s="721"/>
      <c r="I40" s="721"/>
      <c r="J40" s="766"/>
      <c r="K40" s="766"/>
      <c r="L40" s="766"/>
      <c r="M40" s="766"/>
      <c r="N40" s="766"/>
    </row>
    <row r="41" spans="2:14" s="12" customFormat="1" ht="14.45" customHeight="1" x14ac:dyDescent="0.2">
      <c r="B41" s="847" t="s">
        <v>593</v>
      </c>
      <c r="C41" s="741" t="s">
        <v>1248</v>
      </c>
      <c r="D41" s="721"/>
      <c r="E41" s="721"/>
      <c r="F41" s="721"/>
      <c r="G41" s="721"/>
      <c r="H41" s="721"/>
      <c r="I41" s="721"/>
      <c r="J41" s="766"/>
      <c r="K41" s="766"/>
      <c r="L41" s="766"/>
      <c r="M41" s="766"/>
      <c r="N41" s="766"/>
    </row>
    <row r="42" spans="2:14" s="12" customFormat="1" ht="14.45" customHeight="1" x14ac:dyDescent="0.2">
      <c r="B42" s="847" t="s">
        <v>594</v>
      </c>
      <c r="C42" s="848" t="s">
        <v>1249</v>
      </c>
      <c r="D42" s="721"/>
      <c r="E42" s="721"/>
      <c r="F42" s="721"/>
      <c r="G42" s="721"/>
      <c r="H42" s="721"/>
      <c r="I42" s="721"/>
      <c r="J42" s="766"/>
      <c r="K42" s="766"/>
      <c r="L42" s="766"/>
      <c r="M42" s="766"/>
      <c r="N42" s="766"/>
    </row>
    <row r="43" spans="2:14" ht="14.45" customHeight="1" x14ac:dyDescent="0.2">
      <c r="B43" s="847" t="s">
        <v>595</v>
      </c>
      <c r="C43" s="744" t="s">
        <v>1252</v>
      </c>
      <c r="D43" s="724"/>
      <c r="E43" s="724">
        <v>1417</v>
      </c>
      <c r="F43" s="724">
        <f>D43+E43</f>
        <v>1417</v>
      </c>
      <c r="G43" s="723"/>
      <c r="H43" s="723"/>
      <c r="I43" s="723"/>
      <c r="J43" s="725"/>
      <c r="K43" s="725"/>
      <c r="L43" s="725"/>
      <c r="M43" s="725"/>
      <c r="N43" s="725"/>
    </row>
    <row r="44" spans="2:14" ht="14.45" customHeight="1" x14ac:dyDescent="0.2">
      <c r="B44" s="847" t="s">
        <v>650</v>
      </c>
      <c r="C44" s="741" t="s">
        <v>1253</v>
      </c>
      <c r="D44" s="739">
        <f t="shared" ref="D44:F45" si="2">SUM(D43)</f>
        <v>0</v>
      </c>
      <c r="E44" s="739">
        <f t="shared" si="2"/>
        <v>1417</v>
      </c>
      <c r="F44" s="739">
        <f t="shared" si="2"/>
        <v>1417</v>
      </c>
      <c r="G44" s="723"/>
      <c r="H44" s="723"/>
      <c r="I44" s="723"/>
      <c r="J44" s="725"/>
      <c r="K44" s="725"/>
      <c r="L44" s="725"/>
      <c r="M44" s="725"/>
      <c r="N44" s="725"/>
    </row>
    <row r="45" spans="2:14" ht="14.45" customHeight="1" x14ac:dyDescent="0.2">
      <c r="B45" s="847" t="s">
        <v>651</v>
      </c>
      <c r="C45" s="741" t="s">
        <v>1254</v>
      </c>
      <c r="D45" s="739">
        <f t="shared" si="2"/>
        <v>0</v>
      </c>
      <c r="E45" s="739">
        <f t="shared" si="2"/>
        <v>1417</v>
      </c>
      <c r="F45" s="739">
        <f t="shared" si="2"/>
        <v>1417</v>
      </c>
      <c r="G45" s="723"/>
      <c r="H45" s="723"/>
      <c r="I45" s="723"/>
      <c r="J45" s="725"/>
      <c r="K45" s="725"/>
      <c r="L45" s="725"/>
      <c r="M45" s="725"/>
      <c r="N45" s="725"/>
    </row>
    <row r="46" spans="2:14" ht="14.45" customHeight="1" thickBot="1" x14ac:dyDescent="0.25">
      <c r="B46" s="854" t="s">
        <v>652</v>
      </c>
      <c r="C46" s="855"/>
      <c r="D46" s="750"/>
      <c r="E46" s="750"/>
      <c r="F46" s="750"/>
      <c r="G46" s="856"/>
      <c r="H46" s="856"/>
      <c r="I46" s="856"/>
      <c r="J46" s="751"/>
      <c r="K46" s="751"/>
      <c r="L46" s="751"/>
      <c r="M46" s="751"/>
      <c r="N46" s="751"/>
    </row>
    <row r="47" spans="2:14" ht="14.45" customHeight="1" thickBot="1" x14ac:dyDescent="0.25">
      <c r="B47" s="857" t="s">
        <v>653</v>
      </c>
      <c r="C47" s="858" t="s">
        <v>1053</v>
      </c>
      <c r="D47" s="700">
        <f>D39+D43</f>
        <v>8750</v>
      </c>
      <c r="E47" s="700">
        <f>E39+E43</f>
        <v>305137</v>
      </c>
      <c r="F47" s="700">
        <f>F39+F43</f>
        <v>313887</v>
      </c>
      <c r="G47" s="859"/>
      <c r="H47" s="859"/>
      <c r="I47" s="859"/>
      <c r="J47" s="860"/>
      <c r="K47" s="860"/>
      <c r="L47" s="860"/>
      <c r="M47" s="860"/>
      <c r="N47" s="754"/>
    </row>
  </sheetData>
  <sheetProtection selectLockedCells="1" selectUnlockedCells="1"/>
  <mergeCells count="9">
    <mergeCell ref="J7:K7"/>
    <mergeCell ref="L7:N7"/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8" scale="98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31</vt:i4>
      </vt:variant>
      <vt:variant>
        <vt:lpstr>Névvel ellátott tartományok</vt:lpstr>
      </vt:variant>
      <vt:variant>
        <vt:i4>9</vt:i4>
      </vt:variant>
    </vt:vector>
  </HeadingPairs>
  <TitlesOfParts>
    <vt:vector size="40" baseType="lpstr">
      <vt:lpstr>Össz.önkor.mérleg.</vt:lpstr>
      <vt:lpstr>működ. mérleg </vt:lpstr>
      <vt:lpstr>felhalm. mérleg</vt:lpstr>
      <vt:lpstr>2018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Munka2</vt:lpstr>
      <vt:lpstr>likvid</vt:lpstr>
      <vt:lpstr>Munka1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2018-10-08T10:54:34Z</cp:lastPrinted>
  <dcterms:created xsi:type="dcterms:W3CDTF">2013-12-16T15:47:29Z</dcterms:created>
  <dcterms:modified xsi:type="dcterms:W3CDTF">2018-10-17T08:10:42Z</dcterms:modified>
</cp:coreProperties>
</file>