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ktg vet rend mod  intézm\2019\2019 július\"/>
    </mc:Choice>
  </mc:AlternateContent>
  <bookViews>
    <workbookView xWindow="0" yWindow="0" windowWidth="25200" windowHeight="12135" tabRatio="597"/>
  </bookViews>
  <sheets>
    <sheet name="Össz.önkor.mérleg." sheetId="47" r:id="rId1"/>
    <sheet name="működ. mérleg " sheetId="48" state="hidden" r:id="rId2"/>
    <sheet name="felhalm. mérleg" sheetId="49" state="hidden" r:id="rId3"/>
    <sheet name="2019 évi állami tám" sheetId="67" state="hidden" r:id="rId4"/>
    <sheet name="2016 állami tám " sheetId="58" state="hidden" r:id="rId5"/>
    <sheet name="közhatalmi bevételek" sheetId="14" state="hidden" r:id="rId6"/>
    <sheet name="tám, végl. pe.átv  " sheetId="5" state="hidden" r:id="rId7"/>
    <sheet name="állami támog" sheetId="70" state="hidden" r:id="rId8"/>
    <sheet name="felh. bev.  " sheetId="6" state="hidden" r:id="rId9"/>
    <sheet name="mc.pe.átad" sheetId="7" state="hidden" r:id="rId10"/>
    <sheet name="felhalm. kiad.  " sheetId="8" state="hidden" r:id="rId11"/>
    <sheet name="tartalék" sheetId="10" state="hidden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state="hidden" r:id="rId16"/>
    <sheet name="ellátottak önk." sheetId="63" state="hidden" r:id="rId17"/>
    <sheet name="ellátottak hivatal" sheetId="18" state="hidden" r:id="rId18"/>
    <sheet name="püm. GAMESZ. " sheetId="44" r:id="rId19"/>
    <sheet name="püm.Brunszvik" sheetId="51" r:id="rId20"/>
    <sheet name="püm Festetics" sheetId="64" r:id="rId21"/>
    <sheet name="püm-TASZII." sheetId="42" r:id="rId22"/>
    <sheet name="Munka3" sheetId="78" state="hidden" r:id="rId23"/>
    <sheet name="Munka6" sheetId="77" state="hidden" r:id="rId24"/>
    <sheet name="Munka2" sheetId="72" state="hidden" r:id="rId25"/>
    <sheet name="likvid" sheetId="24" state="hidden" r:id="rId26"/>
    <sheet name="Munka1" sheetId="73" state="hidden" r:id="rId27"/>
    <sheet name="létszám" sheetId="68" state="hidden" r:id="rId28"/>
    <sheet name="Kötváll Ph." sheetId="65" state="hidden" r:id="rId29"/>
    <sheet name="Kötváll Önk" sheetId="66" state="hidden" r:id="rId30"/>
    <sheet name="kötváll. " sheetId="56" state="hidden" r:id="rId31"/>
    <sheet name="közvetett t." sheetId="54" state="hidden" r:id="rId32"/>
    <sheet name="hitelállomány " sheetId="55" state="hidden" r:id="rId33"/>
  </sheets>
  <definedNames>
    <definedName name="Excel_BuiltIn_Print_Titles" localSheetId="16">'ellátottak önk.'!$B$8:$IM$9</definedName>
    <definedName name="Excel_BuiltIn_Print_Titles" localSheetId="27">#REF!</definedName>
    <definedName name="Excel_BuiltIn_Print_Titles">#REF!</definedName>
    <definedName name="_xlnm.Print_Titles" localSheetId="16">'ellátottak önk.'!$8:$9</definedName>
    <definedName name="_xlnm.Print_Titles" localSheetId="8">'felh. bev.  '!$7:$8</definedName>
    <definedName name="_xlnm.Print_Titles" localSheetId="10">'felhalm. kiad.  '!$5:$9</definedName>
    <definedName name="_xlnm.Print_Titles" localSheetId="30">'kötváll. '!$7:$8</definedName>
    <definedName name="_xlnm.Print_Titles" localSheetId="27">létszám!$5:$8</definedName>
    <definedName name="_xlnm.Print_Titles" localSheetId="9">mc.pe.átad!$7:$8</definedName>
    <definedName name="_xlnm.Print_Titles" localSheetId="15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P55" i="47" l="1"/>
  <c r="Q55" i="47"/>
  <c r="R55" i="47"/>
  <c r="S55" i="47"/>
  <c r="O55" i="47"/>
  <c r="P54" i="47"/>
  <c r="R54" i="47" s="1"/>
  <c r="O54" i="47"/>
  <c r="P35" i="47"/>
  <c r="O35" i="47"/>
  <c r="Q35" i="47" s="1"/>
  <c r="S35" i="47" s="1"/>
  <c r="P34" i="47"/>
  <c r="O34" i="47"/>
  <c r="Q34" i="47" s="1"/>
  <c r="P24" i="47"/>
  <c r="O24" i="47"/>
  <c r="S14" i="47"/>
  <c r="S31" i="47"/>
  <c r="R11" i="47"/>
  <c r="R12" i="47"/>
  <c r="R14" i="47"/>
  <c r="R17" i="47"/>
  <c r="R18" i="47"/>
  <c r="R20" i="47"/>
  <c r="S20" i="47" s="1"/>
  <c r="R21" i="47"/>
  <c r="R24" i="47"/>
  <c r="R27" i="47"/>
  <c r="R28" i="47"/>
  <c r="R30" i="47"/>
  <c r="R31" i="47"/>
  <c r="R32" i="47"/>
  <c r="R33" i="47"/>
  <c r="R34" i="47"/>
  <c r="R35" i="47"/>
  <c r="R47" i="47"/>
  <c r="Q11" i="47"/>
  <c r="S11" i="47" s="1"/>
  <c r="Q12" i="47"/>
  <c r="S12" i="47" s="1"/>
  <c r="Q14" i="47"/>
  <c r="Q17" i="47"/>
  <c r="S17" i="47" s="1"/>
  <c r="Q18" i="47"/>
  <c r="S18" i="47" s="1"/>
  <c r="Q20" i="47"/>
  <c r="Q21" i="47"/>
  <c r="S21" i="47" s="1"/>
  <c r="Q24" i="47"/>
  <c r="S24" i="47" s="1"/>
  <c r="Q27" i="47"/>
  <c r="S27" i="47" s="1"/>
  <c r="Q28" i="47"/>
  <c r="S28" i="47" s="1"/>
  <c r="Q30" i="47"/>
  <c r="S30" i="47" s="1"/>
  <c r="Q31" i="47"/>
  <c r="Q32" i="47"/>
  <c r="S32" i="47" s="1"/>
  <c r="Q33" i="47"/>
  <c r="S33" i="47" s="1"/>
  <c r="Q47" i="47"/>
  <c r="S47" i="47" s="1"/>
  <c r="Q54" i="47"/>
  <c r="S10" i="47"/>
  <c r="R10" i="47"/>
  <c r="Q10" i="47"/>
  <c r="G55" i="47"/>
  <c r="H55" i="47"/>
  <c r="I55" i="47"/>
  <c r="J55" i="47"/>
  <c r="F55" i="47"/>
  <c r="G54" i="47"/>
  <c r="F54" i="47"/>
  <c r="F37" i="47"/>
  <c r="H37" i="47" s="1"/>
  <c r="G37" i="47"/>
  <c r="G35" i="47"/>
  <c r="I35" i="47" s="1"/>
  <c r="F35" i="47"/>
  <c r="G34" i="47"/>
  <c r="I34" i="47" s="1"/>
  <c r="J34" i="47" s="1"/>
  <c r="F34" i="47"/>
  <c r="G33" i="47"/>
  <c r="I33" i="47"/>
  <c r="F33" i="47"/>
  <c r="J13" i="47"/>
  <c r="J16" i="47"/>
  <c r="J17" i="47"/>
  <c r="J24" i="47"/>
  <c r="J26" i="47"/>
  <c r="J29" i="47"/>
  <c r="J30" i="47"/>
  <c r="J41" i="47"/>
  <c r="J45" i="47"/>
  <c r="J46" i="47"/>
  <c r="I13" i="47"/>
  <c r="I16" i="47"/>
  <c r="I17" i="47"/>
  <c r="I20" i="47"/>
  <c r="J20" i="47" s="1"/>
  <c r="I24" i="47"/>
  <c r="I25" i="47"/>
  <c r="J25" i="47" s="1"/>
  <c r="I26" i="47"/>
  <c r="I29" i="47"/>
  <c r="I30" i="47"/>
  <c r="I37" i="47"/>
  <c r="I41" i="47"/>
  <c r="I44" i="47"/>
  <c r="J44" i="47" s="1"/>
  <c r="I45" i="47"/>
  <c r="I46" i="47"/>
  <c r="I54" i="47"/>
  <c r="H54" i="47"/>
  <c r="H16" i="47"/>
  <c r="H17" i="47"/>
  <c r="H20" i="47"/>
  <c r="H24" i="47"/>
  <c r="H25" i="47"/>
  <c r="H26" i="47"/>
  <c r="H29" i="47"/>
  <c r="H30" i="47"/>
  <c r="H33" i="47"/>
  <c r="H34" i="47"/>
  <c r="H35" i="47"/>
  <c r="H41" i="47"/>
  <c r="H44" i="47"/>
  <c r="H45" i="47"/>
  <c r="H46" i="47"/>
  <c r="H13" i="47"/>
  <c r="J11" i="47"/>
  <c r="I11" i="47"/>
  <c r="H11" i="47"/>
  <c r="P50" i="46"/>
  <c r="O50" i="46"/>
  <c r="P49" i="46"/>
  <c r="O49" i="46"/>
  <c r="J48" i="42"/>
  <c r="H48" i="42"/>
  <c r="H53" i="42" s="1"/>
  <c r="H54" i="42" s="1"/>
  <c r="I48" i="42"/>
  <c r="F48" i="42"/>
  <c r="F53" i="42" s="1"/>
  <c r="F54" i="42" s="1"/>
  <c r="G48" i="42"/>
  <c r="G34" i="42"/>
  <c r="G32" i="42"/>
  <c r="G53" i="42"/>
  <c r="D48" i="42"/>
  <c r="P54" i="42"/>
  <c r="Q54" i="42"/>
  <c r="R54" i="42"/>
  <c r="S54" i="42"/>
  <c r="O54" i="42"/>
  <c r="P34" i="42"/>
  <c r="Q34" i="42"/>
  <c r="R34" i="42"/>
  <c r="S34" i="42"/>
  <c r="O34" i="42"/>
  <c r="P33" i="42"/>
  <c r="O33" i="42"/>
  <c r="F49" i="42" s="1"/>
  <c r="P24" i="42"/>
  <c r="O24" i="42"/>
  <c r="R24" i="42"/>
  <c r="R27" i="42"/>
  <c r="R33" i="42"/>
  <c r="I49" i="42" s="1"/>
  <c r="Q24" i="42"/>
  <c r="Q27" i="42"/>
  <c r="Q33" i="42"/>
  <c r="H49" i="42" s="1"/>
  <c r="R13" i="42"/>
  <c r="S13" i="42" s="1"/>
  <c r="R14" i="42"/>
  <c r="S14" i="42" s="1"/>
  <c r="Q13" i="42"/>
  <c r="Q14" i="42"/>
  <c r="S12" i="42"/>
  <c r="R12" i="42"/>
  <c r="Q12" i="42"/>
  <c r="G49" i="42"/>
  <c r="J20" i="42"/>
  <c r="J33" i="42"/>
  <c r="I20" i="42"/>
  <c r="I32" i="42"/>
  <c r="J32" i="42" s="1"/>
  <c r="I33" i="42"/>
  <c r="I34" i="42"/>
  <c r="I43" i="42"/>
  <c r="H20" i="42"/>
  <c r="H32" i="42"/>
  <c r="H33" i="42"/>
  <c r="H34" i="42"/>
  <c r="J14" i="42"/>
  <c r="I14" i="42"/>
  <c r="H14" i="42"/>
  <c r="G54" i="64"/>
  <c r="H54" i="64"/>
  <c r="I54" i="64"/>
  <c r="J54" i="64"/>
  <c r="F54" i="64"/>
  <c r="I53" i="64"/>
  <c r="J53" i="64"/>
  <c r="H53" i="64"/>
  <c r="G53" i="64"/>
  <c r="F53" i="64"/>
  <c r="Q54" i="64"/>
  <c r="R54" i="64"/>
  <c r="S54" i="64"/>
  <c r="P54" i="64"/>
  <c r="O54" i="64"/>
  <c r="P34" i="64"/>
  <c r="Q34" i="64"/>
  <c r="R34" i="64"/>
  <c r="S34" i="64"/>
  <c r="O34" i="64"/>
  <c r="F49" i="64"/>
  <c r="G49" i="64"/>
  <c r="H49" i="64"/>
  <c r="I49" i="64"/>
  <c r="J49" i="64"/>
  <c r="F48" i="64"/>
  <c r="G48" i="64"/>
  <c r="H48" i="64"/>
  <c r="I48" i="64"/>
  <c r="J48" i="64"/>
  <c r="Q27" i="64"/>
  <c r="S27" i="64" s="1"/>
  <c r="P24" i="64"/>
  <c r="R24" i="64" s="1"/>
  <c r="O24" i="64"/>
  <c r="S13" i="64"/>
  <c r="S14" i="64"/>
  <c r="S12" i="64"/>
  <c r="R13" i="64"/>
  <c r="R14" i="64"/>
  <c r="R27" i="64"/>
  <c r="R33" i="64"/>
  <c r="Q13" i="64"/>
  <c r="Q14" i="64"/>
  <c r="Q24" i="64"/>
  <c r="Q33" i="64"/>
  <c r="R12" i="64"/>
  <c r="Q12" i="64"/>
  <c r="G34" i="64"/>
  <c r="F34" i="64"/>
  <c r="G32" i="64"/>
  <c r="H43" i="64"/>
  <c r="I43" i="64"/>
  <c r="J33" i="64"/>
  <c r="I29" i="64"/>
  <c r="J29" i="64" s="1"/>
  <c r="I32" i="64"/>
  <c r="I33" i="64"/>
  <c r="I34" i="64"/>
  <c r="J34" i="64" s="1"/>
  <c r="H29" i="64"/>
  <c r="H32" i="64"/>
  <c r="H33" i="64"/>
  <c r="H34" i="64"/>
  <c r="J20" i="64"/>
  <c r="I20" i="64"/>
  <c r="H20" i="64"/>
  <c r="F32" i="51"/>
  <c r="G32" i="51"/>
  <c r="H32" i="51"/>
  <c r="I32" i="51"/>
  <c r="J32" i="51"/>
  <c r="F34" i="51"/>
  <c r="G34" i="51"/>
  <c r="G48" i="51" s="1"/>
  <c r="G53" i="51" s="1"/>
  <c r="G54" i="51" s="1"/>
  <c r="H34" i="51"/>
  <c r="J34" i="51" s="1"/>
  <c r="I34" i="51"/>
  <c r="I48" i="51" s="1"/>
  <c r="I53" i="51" s="1"/>
  <c r="I54" i="51" s="1"/>
  <c r="R54" i="51"/>
  <c r="S54" i="51"/>
  <c r="Q54" i="51"/>
  <c r="O54" i="51"/>
  <c r="O34" i="51"/>
  <c r="Q34" i="51" s="1"/>
  <c r="S34" i="51" s="1"/>
  <c r="O24" i="51"/>
  <c r="S53" i="51"/>
  <c r="S13" i="51"/>
  <c r="S14" i="51"/>
  <c r="S27" i="51"/>
  <c r="S33" i="51"/>
  <c r="S12" i="51"/>
  <c r="R13" i="51"/>
  <c r="R14" i="51"/>
  <c r="R24" i="51"/>
  <c r="R27" i="51"/>
  <c r="R33" i="51"/>
  <c r="R34" i="51"/>
  <c r="R53" i="51"/>
  <c r="R12" i="51"/>
  <c r="Q13" i="51"/>
  <c r="Q14" i="51"/>
  <c r="Q24" i="51"/>
  <c r="Q27" i="51"/>
  <c r="Q33" i="51"/>
  <c r="Q53" i="51"/>
  <c r="Q12" i="51"/>
  <c r="F49" i="51"/>
  <c r="G49" i="51"/>
  <c r="H49" i="51"/>
  <c r="I49" i="51"/>
  <c r="J49" i="51"/>
  <c r="F48" i="51"/>
  <c r="F53" i="51" s="1"/>
  <c r="F54" i="51" s="1"/>
  <c r="J43" i="51"/>
  <c r="H43" i="51"/>
  <c r="G54" i="44"/>
  <c r="F54" i="44"/>
  <c r="G53" i="44"/>
  <c r="F53" i="44"/>
  <c r="I48" i="44"/>
  <c r="P54" i="44"/>
  <c r="Q54" i="44"/>
  <c r="R54" i="44"/>
  <c r="S54" i="44"/>
  <c r="O54" i="44"/>
  <c r="S53" i="44"/>
  <c r="R53" i="44"/>
  <c r="P34" i="44"/>
  <c r="Q34" i="44"/>
  <c r="R34" i="44"/>
  <c r="S34" i="44"/>
  <c r="O34" i="44"/>
  <c r="O33" i="44"/>
  <c r="F49" i="44" s="1"/>
  <c r="P33" i="44"/>
  <c r="G49" i="44" s="1"/>
  <c r="P24" i="44"/>
  <c r="R24" i="44" s="1"/>
  <c r="O24" i="44"/>
  <c r="F48" i="44" s="1"/>
  <c r="S12" i="44"/>
  <c r="R13" i="44"/>
  <c r="S13" i="44" s="1"/>
  <c r="R14" i="44"/>
  <c r="R27" i="44"/>
  <c r="Q53" i="44"/>
  <c r="Q13" i="44"/>
  <c r="Q14" i="44"/>
  <c r="S14" i="44" s="1"/>
  <c r="Q27" i="44"/>
  <c r="S27" i="44" s="1"/>
  <c r="R12" i="44"/>
  <c r="Q12" i="44"/>
  <c r="G34" i="44"/>
  <c r="F34" i="44"/>
  <c r="G33" i="44"/>
  <c r="H33" i="44"/>
  <c r="H34" i="44" s="1"/>
  <c r="I33" i="44"/>
  <c r="I34" i="44" s="1"/>
  <c r="J33" i="44"/>
  <c r="J34" i="44" s="1"/>
  <c r="F33" i="44"/>
  <c r="F32" i="44"/>
  <c r="H32" i="44" s="1"/>
  <c r="G32" i="44"/>
  <c r="I32" i="44" s="1"/>
  <c r="J20" i="44"/>
  <c r="J25" i="44"/>
  <c r="J43" i="44"/>
  <c r="I20" i="44"/>
  <c r="I25" i="44"/>
  <c r="I43" i="44"/>
  <c r="H20" i="44"/>
  <c r="H25" i="44"/>
  <c r="H43" i="44"/>
  <c r="J14" i="44"/>
  <c r="I14" i="44"/>
  <c r="H14" i="44"/>
  <c r="G53" i="45"/>
  <c r="H54" i="45"/>
  <c r="J54" i="45"/>
  <c r="K54" i="45"/>
  <c r="G54" i="45"/>
  <c r="J53" i="45"/>
  <c r="K53" i="45"/>
  <c r="I53" i="45"/>
  <c r="I54" i="45" s="1"/>
  <c r="H53" i="45"/>
  <c r="Q54" i="45"/>
  <c r="P54" i="45"/>
  <c r="Q34" i="45"/>
  <c r="P34" i="45"/>
  <c r="S24" i="45"/>
  <c r="S34" i="45" s="1"/>
  <c r="S54" i="45" s="1"/>
  <c r="Q24" i="45"/>
  <c r="P24" i="45"/>
  <c r="T14" i="45"/>
  <c r="T16" i="45"/>
  <c r="T27" i="45"/>
  <c r="T33" i="45"/>
  <c r="T53" i="45"/>
  <c r="S13" i="45"/>
  <c r="T13" i="45" s="1"/>
  <c r="S14" i="45"/>
  <c r="S16" i="45"/>
  <c r="S18" i="45"/>
  <c r="S19" i="45"/>
  <c r="S27" i="45"/>
  <c r="S33" i="45"/>
  <c r="S53" i="45"/>
  <c r="R13" i="45"/>
  <c r="R14" i="45"/>
  <c r="R16" i="45"/>
  <c r="R18" i="45"/>
  <c r="R19" i="45"/>
  <c r="T19" i="45" s="1"/>
  <c r="R27" i="45"/>
  <c r="R33" i="45"/>
  <c r="R53" i="45"/>
  <c r="T12" i="45"/>
  <c r="S12" i="45"/>
  <c r="R12" i="45"/>
  <c r="G32" i="45"/>
  <c r="G34" i="45" s="1"/>
  <c r="H32" i="45"/>
  <c r="J43" i="45"/>
  <c r="I43" i="45"/>
  <c r="K43" i="45" s="1"/>
  <c r="J14" i="45"/>
  <c r="P34" i="46"/>
  <c r="O34" i="46"/>
  <c r="O24" i="46"/>
  <c r="P24" i="46"/>
  <c r="R47" i="46"/>
  <c r="Q47" i="46"/>
  <c r="G54" i="46"/>
  <c r="F54" i="46"/>
  <c r="F34" i="46"/>
  <c r="F35" i="46" s="1"/>
  <c r="G34" i="46"/>
  <c r="F33" i="46"/>
  <c r="G33" i="46"/>
  <c r="G35" i="46" s="1"/>
  <c r="I41" i="46"/>
  <c r="I44" i="46"/>
  <c r="I46" i="46"/>
  <c r="H41" i="46"/>
  <c r="H44" i="46"/>
  <c r="H46" i="46"/>
  <c r="I20" i="46"/>
  <c r="I36" i="46"/>
  <c r="J36" i="46" s="1"/>
  <c r="H20" i="46"/>
  <c r="H36" i="46"/>
  <c r="S54" i="47" l="1"/>
  <c r="J37" i="47"/>
  <c r="S34" i="47"/>
  <c r="J54" i="47"/>
  <c r="J35" i="47"/>
  <c r="J33" i="47"/>
  <c r="J41" i="46"/>
  <c r="P35" i="46"/>
  <c r="G37" i="46" s="1"/>
  <c r="J46" i="46"/>
  <c r="F55" i="46"/>
  <c r="O54" i="46"/>
  <c r="G55" i="46"/>
  <c r="O35" i="46"/>
  <c r="F37" i="46" s="1"/>
  <c r="P54" i="46"/>
  <c r="J44" i="46"/>
  <c r="S47" i="46"/>
  <c r="I53" i="42"/>
  <c r="I54" i="42"/>
  <c r="G54" i="42"/>
  <c r="J34" i="42"/>
  <c r="S33" i="42"/>
  <c r="J49" i="42" s="1"/>
  <c r="S27" i="42"/>
  <c r="S24" i="42"/>
  <c r="S33" i="64"/>
  <c r="S24" i="64"/>
  <c r="J43" i="64"/>
  <c r="J32" i="64"/>
  <c r="H48" i="51"/>
  <c r="H53" i="51" s="1"/>
  <c r="H54" i="51" s="1"/>
  <c r="S24" i="51"/>
  <c r="J48" i="51" s="1"/>
  <c r="J53" i="51" s="1"/>
  <c r="J54" i="51" s="1"/>
  <c r="Q33" i="44"/>
  <c r="H49" i="44" s="1"/>
  <c r="R33" i="44"/>
  <c r="Q24" i="44"/>
  <c r="J32" i="44"/>
  <c r="R24" i="45"/>
  <c r="R34" i="45" s="1"/>
  <c r="R54" i="45" s="1"/>
  <c r="T18" i="45"/>
  <c r="T24" i="45" s="1"/>
  <c r="T34" i="45" s="1"/>
  <c r="T54" i="45" s="1"/>
  <c r="H34" i="45"/>
  <c r="J20" i="46"/>
  <c r="C30" i="54"/>
  <c r="O55" i="46" l="1"/>
  <c r="P55" i="46"/>
  <c r="I49" i="44"/>
  <c r="I53" i="44" s="1"/>
  <c r="I54" i="44" s="1"/>
  <c r="S33" i="44"/>
  <c r="J49" i="44" s="1"/>
  <c r="S24" i="44"/>
  <c r="H48" i="44"/>
  <c r="D29" i="49"/>
  <c r="J48" i="44" l="1"/>
  <c r="J53" i="44" s="1"/>
  <c r="J54" i="44" s="1"/>
  <c r="H53" i="44"/>
  <c r="H54" i="44" s="1"/>
  <c r="G66" i="15"/>
  <c r="J66" i="15"/>
  <c r="M66" i="15"/>
  <c r="P66" i="15"/>
  <c r="S66" i="15"/>
  <c r="Y66" i="15"/>
  <c r="AH66" i="15"/>
  <c r="AI66" i="15"/>
  <c r="D66" i="15"/>
  <c r="AP63" i="15"/>
  <c r="AP60" i="15"/>
  <c r="M113" i="8"/>
  <c r="J113" i="8"/>
  <c r="J112" i="8"/>
  <c r="P112" i="8" s="1"/>
  <c r="G108" i="8"/>
  <c r="M108" i="8"/>
  <c r="D108" i="8"/>
  <c r="J104" i="8"/>
  <c r="P104" i="8" s="1"/>
  <c r="J45" i="8"/>
  <c r="M45" i="8" s="1"/>
  <c r="J44" i="8"/>
  <c r="J14" i="8"/>
  <c r="P14" i="8" s="1"/>
  <c r="G18" i="8"/>
  <c r="D18" i="8"/>
  <c r="J15" i="8"/>
  <c r="P15" i="8" s="1"/>
  <c r="F57" i="7"/>
  <c r="F56" i="7"/>
  <c r="C44" i="5"/>
  <c r="D44" i="5"/>
  <c r="E34" i="5"/>
  <c r="E33" i="5"/>
  <c r="D33" i="5"/>
  <c r="C33" i="5"/>
  <c r="E24" i="5"/>
  <c r="E23" i="5" s="1"/>
  <c r="D23" i="5"/>
  <c r="D37" i="5" s="1"/>
  <c r="C23" i="5"/>
  <c r="C37" i="5" s="1"/>
  <c r="E22" i="5"/>
  <c r="E21" i="5"/>
  <c r="D21" i="5"/>
  <c r="C21" i="5"/>
  <c r="P18" i="8" l="1"/>
  <c r="C28" i="54"/>
  <c r="AB106" i="68" l="1"/>
  <c r="AB104" i="68"/>
  <c r="Y106" i="68"/>
  <c r="Y104" i="68"/>
  <c r="T106" i="68"/>
  <c r="T104" i="68"/>
  <c r="N106" i="68"/>
  <c r="N104" i="68"/>
  <c r="Y40" i="68"/>
  <c r="AB40" i="68"/>
  <c r="O33" i="68" l="1"/>
  <c r="T40" i="68"/>
  <c r="Q40" i="68"/>
  <c r="R30" i="68"/>
  <c r="N40" i="68"/>
  <c r="AB36" i="68"/>
  <c r="T36" i="68"/>
  <c r="O36" i="68"/>
  <c r="AB38" i="68"/>
  <c r="W38" i="68"/>
  <c r="T38" i="68"/>
  <c r="AB37" i="68"/>
  <c r="W37" i="68"/>
  <c r="T37" i="68"/>
  <c r="AB35" i="68"/>
  <c r="O35" i="68"/>
  <c r="AB28" i="68"/>
  <c r="O28" i="68"/>
  <c r="AC106" i="68" l="1"/>
  <c r="V106" i="68"/>
  <c r="U106" i="68"/>
  <c r="L106" i="68"/>
  <c r="K106" i="68"/>
  <c r="I106" i="68"/>
  <c r="H106" i="68"/>
  <c r="E106" i="68"/>
  <c r="C106" i="68"/>
  <c r="AD104" i="68"/>
  <c r="V104" i="68"/>
  <c r="M104" i="68"/>
  <c r="M106" i="68" s="1"/>
  <c r="L104" i="68"/>
  <c r="K104" i="68"/>
  <c r="J104" i="68"/>
  <c r="G104" i="68"/>
  <c r="G106" i="68" s="1"/>
  <c r="D104" i="68"/>
  <c r="C104" i="68"/>
  <c r="Z101" i="68"/>
  <c r="X101" i="68"/>
  <c r="S101" i="68"/>
  <c r="AA101" i="68" s="1"/>
  <c r="R101" i="68"/>
  <c r="M101" i="68"/>
  <c r="O101" i="68" s="1"/>
  <c r="AE100" i="68"/>
  <c r="AA100" i="68"/>
  <c r="O100" i="68"/>
  <c r="AE99" i="68"/>
  <c r="AA99" i="68"/>
  <c r="W99" i="68"/>
  <c r="S99" i="68"/>
  <c r="O99" i="68"/>
  <c r="S98" i="68"/>
  <c r="AA98" i="68" s="1"/>
  <c r="O98" i="68"/>
  <c r="W98" i="68" s="1"/>
  <c r="Z93" i="68"/>
  <c r="X93" i="68"/>
  <c r="R93" i="68"/>
  <c r="P93" i="68"/>
  <c r="M93" i="68"/>
  <c r="O93" i="68" s="1"/>
  <c r="W93" i="68" s="1"/>
  <c r="AA92" i="68"/>
  <c r="S92" i="68"/>
  <c r="S93" i="68" s="1"/>
  <c r="AA93" i="68" s="1"/>
  <c r="O92" i="68"/>
  <c r="W92" i="68" s="1"/>
  <c r="AE92" i="68" s="1"/>
  <c r="AA91" i="68"/>
  <c r="O91" i="68"/>
  <c r="W91" i="68" s="1"/>
  <c r="AE91" i="68" s="1"/>
  <c r="AA90" i="68"/>
  <c r="O90" i="68"/>
  <c r="W90" i="68" s="1"/>
  <c r="AE90" i="68" s="1"/>
  <c r="AA89" i="68"/>
  <c r="O89" i="68"/>
  <c r="W89" i="68" s="1"/>
  <c r="AE89" i="68" s="1"/>
  <c r="AA87" i="68"/>
  <c r="O87" i="68"/>
  <c r="W87" i="68" s="1"/>
  <c r="AE87" i="68" s="1"/>
  <c r="AA86" i="68"/>
  <c r="O86" i="68"/>
  <c r="W86" i="68" s="1"/>
  <c r="AE86" i="68" s="1"/>
  <c r="AA85" i="68"/>
  <c r="O85" i="68"/>
  <c r="W85" i="68" s="1"/>
  <c r="AE85" i="68" s="1"/>
  <c r="AA84" i="68"/>
  <c r="O84" i="68"/>
  <c r="W84" i="68" s="1"/>
  <c r="AE84" i="68" s="1"/>
  <c r="AA83" i="68"/>
  <c r="O83" i="68"/>
  <c r="W83" i="68" s="1"/>
  <c r="AE83" i="68" s="1"/>
  <c r="AA82" i="68"/>
  <c r="O82" i="68"/>
  <c r="W82" i="68" s="1"/>
  <c r="AE82" i="68" s="1"/>
  <c r="AA81" i="68"/>
  <c r="O81" i="68"/>
  <c r="W81" i="68" s="1"/>
  <c r="AE81" i="68" s="1"/>
  <c r="AA80" i="68"/>
  <c r="O80" i="68"/>
  <c r="W80" i="68" s="1"/>
  <c r="AE80" i="68" s="1"/>
  <c r="AA78" i="68"/>
  <c r="O78" i="68"/>
  <c r="W78" i="68" s="1"/>
  <c r="AE78" i="68" s="1"/>
  <c r="AA77" i="68"/>
  <c r="O77" i="68"/>
  <c r="W77" i="68" s="1"/>
  <c r="AE77" i="68" s="1"/>
  <c r="AA76" i="68"/>
  <c r="O76" i="68"/>
  <c r="W76" i="68" s="1"/>
  <c r="AE76" i="68" s="1"/>
  <c r="AA75" i="68"/>
  <c r="O75" i="68"/>
  <c r="W75" i="68" s="1"/>
  <c r="AE75" i="68" s="1"/>
  <c r="AA74" i="68"/>
  <c r="O74" i="68"/>
  <c r="W74" i="68" s="1"/>
  <c r="AE74" i="68" s="1"/>
  <c r="AA73" i="68"/>
  <c r="O73" i="68"/>
  <c r="W73" i="68" s="1"/>
  <c r="AE73" i="68" s="1"/>
  <c r="AA72" i="68"/>
  <c r="O72" i="68"/>
  <c r="W72" i="68" s="1"/>
  <c r="AE72" i="68" s="1"/>
  <c r="AA71" i="68"/>
  <c r="O71" i="68"/>
  <c r="W71" i="68" s="1"/>
  <c r="AE71" i="68" s="1"/>
  <c r="AA70" i="68"/>
  <c r="O70" i="68"/>
  <c r="W70" i="68" s="1"/>
  <c r="AE70" i="68" s="1"/>
  <c r="AE93" i="68" s="1"/>
  <c r="P41" i="68"/>
  <c r="O41" i="68"/>
  <c r="R40" i="68"/>
  <c r="R104" i="68" s="1"/>
  <c r="R106" i="68" s="1"/>
  <c r="P40" i="68"/>
  <c r="X40" i="68" s="1"/>
  <c r="X104" i="68" s="1"/>
  <c r="X106" i="68" s="1"/>
  <c r="M40" i="68"/>
  <c r="AA40" i="68" s="1"/>
  <c r="AA39" i="68"/>
  <c r="S39" i="68"/>
  <c r="O39" i="68"/>
  <c r="W39" i="68" s="1"/>
  <c r="AA38" i="68"/>
  <c r="O38" i="68"/>
  <c r="AE38" i="68" s="1"/>
  <c r="AA37" i="68"/>
  <c r="O37" i="68"/>
  <c r="AE37" i="68" s="1"/>
  <c r="AA36" i="68"/>
  <c r="AE36" i="68"/>
  <c r="AA35" i="68"/>
  <c r="AE35" i="68"/>
  <c r="AA34" i="68"/>
  <c r="W34" i="68"/>
  <c r="S34" i="68"/>
  <c r="S40" i="68" s="1"/>
  <c r="S104" i="68" s="1"/>
  <c r="O34" i="68"/>
  <c r="AE34" i="68" s="1"/>
  <c r="AA33" i="68"/>
  <c r="AA32" i="68"/>
  <c r="S32" i="68"/>
  <c r="O32" i="68"/>
  <c r="AE32" i="68" s="1"/>
  <c r="AA31" i="68"/>
  <c r="S31" i="68"/>
  <c r="O31" i="68"/>
  <c r="W31" i="68" s="1"/>
  <c r="AA30" i="68"/>
  <c r="Z30" i="68"/>
  <c r="X30" i="68"/>
  <c r="O30" i="68"/>
  <c r="AE30" i="68" s="1"/>
  <c r="AA29" i="68"/>
  <c r="S29" i="68"/>
  <c r="O29" i="68"/>
  <c r="AE29" i="68" s="1"/>
  <c r="AA28" i="68"/>
  <c r="S28" i="68"/>
  <c r="W28" i="68"/>
  <c r="S24" i="68"/>
  <c r="AA24" i="68" s="1"/>
  <c r="M24" i="68"/>
  <c r="AA23" i="68"/>
  <c r="W23" i="68"/>
  <c r="AE23" i="68" s="1"/>
  <c r="S23" i="68"/>
  <c r="O23" i="68"/>
  <c r="W22" i="68"/>
  <c r="AE22" i="68" s="1"/>
  <c r="S22" i="68"/>
  <c r="O22" i="68"/>
  <c r="AA21" i="68"/>
  <c r="S21" i="68"/>
  <c r="O21" i="68"/>
  <c r="W21" i="68" s="1"/>
  <c r="AE21" i="68" s="1"/>
  <c r="S20" i="68"/>
  <c r="AA20" i="68" s="1"/>
  <c r="O20" i="68"/>
  <c r="W20" i="68" s="1"/>
  <c r="AE20" i="68" s="1"/>
  <c r="W19" i="68"/>
  <c r="AE19" i="68" s="1"/>
  <c r="S19" i="68"/>
  <c r="AA19" i="68" s="1"/>
  <c r="O19" i="68"/>
  <c r="AA18" i="68"/>
  <c r="W18" i="68"/>
  <c r="AE18" i="68" s="1"/>
  <c r="S18" i="68"/>
  <c r="O18" i="68"/>
  <c r="AA17" i="68"/>
  <c r="S17" i="68"/>
  <c r="O17" i="68"/>
  <c r="W17" i="68" s="1"/>
  <c r="AE17" i="68" s="1"/>
  <c r="S16" i="68"/>
  <c r="AA16" i="68" s="1"/>
  <c r="O16" i="68"/>
  <c r="W16" i="68" s="1"/>
  <c r="AD12" i="68"/>
  <c r="AA12" i="68"/>
  <c r="AE12" i="68" s="1"/>
  <c r="W12" i="68"/>
  <c r="S12" i="68"/>
  <c r="J12" i="68"/>
  <c r="J106" i="68" s="1"/>
  <c r="D12" i="68"/>
  <c r="D106" i="68" s="1"/>
  <c r="AA10" i="68"/>
  <c r="Z10" i="68"/>
  <c r="W10" i="68"/>
  <c r="S10" i="68"/>
  <c r="F10" i="68"/>
  <c r="F106" i="68" s="1"/>
  <c r="D10" i="68"/>
  <c r="AD106" i="68" l="1"/>
  <c r="W30" i="68"/>
  <c r="W29" i="68"/>
  <c r="W32" i="68"/>
  <c r="W24" i="68"/>
  <c r="AE16" i="68"/>
  <c r="AE24" i="68" s="1"/>
  <c r="AA104" i="68"/>
  <c r="AA106" i="68" s="1"/>
  <c r="W101" i="68"/>
  <c r="AE101" i="68" s="1"/>
  <c r="AE98" i="68"/>
  <c r="S106" i="68"/>
  <c r="AE10" i="68"/>
  <c r="O24" i="68"/>
  <c r="AE39" i="68"/>
  <c r="Z40" i="68"/>
  <c r="Z104" i="68" s="1"/>
  <c r="Z106" i="68" s="1"/>
  <c r="AE28" i="68"/>
  <c r="AE31" i="68"/>
  <c r="W35" i="68"/>
  <c r="W36" i="68"/>
  <c r="O40" i="68"/>
  <c r="P104" i="68"/>
  <c r="P106" i="68" s="1"/>
  <c r="E32" i="5"/>
  <c r="W33" i="68" l="1"/>
  <c r="AB33" i="68"/>
  <c r="AE33" i="68" s="1"/>
  <c r="AE40" i="68"/>
  <c r="AE104" i="68" s="1"/>
  <c r="AE106" i="68" s="1"/>
  <c r="W40" i="68"/>
  <c r="W104" i="68" s="1"/>
  <c r="W106" i="68" s="1"/>
  <c r="O104" i="68"/>
  <c r="O106" i="68" s="1"/>
  <c r="D25" i="5"/>
  <c r="E29" i="24" l="1"/>
  <c r="F29" i="24"/>
  <c r="G29" i="24"/>
  <c r="H29" i="24"/>
  <c r="I29" i="24" s="1"/>
  <c r="J29" i="24" s="1"/>
  <c r="K29" i="24" s="1"/>
  <c r="L29" i="24" s="1"/>
  <c r="M29" i="24" s="1"/>
  <c r="N29" i="24" s="1"/>
  <c r="E30" i="24"/>
  <c r="F30" i="24"/>
  <c r="G30" i="24" s="1"/>
  <c r="H30" i="24" s="1"/>
  <c r="I30" i="24" s="1"/>
  <c r="J30" i="24" s="1"/>
  <c r="K30" i="24" s="1"/>
  <c r="L30" i="24" s="1"/>
  <c r="M30" i="24" s="1"/>
  <c r="N30" i="24" s="1"/>
  <c r="D29" i="24"/>
  <c r="D30" i="24"/>
  <c r="F47" i="7" l="1"/>
  <c r="H15" i="55"/>
  <c r="D15" i="55"/>
  <c r="C15" i="55"/>
  <c r="F27" i="6" l="1"/>
  <c r="C35" i="5"/>
  <c r="F55" i="7" l="1"/>
  <c r="J81" i="8" l="1"/>
  <c r="P81" i="8" s="1"/>
  <c r="AP12" i="15" l="1"/>
  <c r="I88" i="67" l="1"/>
  <c r="K90" i="67" s="1"/>
  <c r="I83" i="67"/>
  <c r="I82" i="67"/>
  <c r="I79" i="67"/>
  <c r="I77" i="67"/>
  <c r="E77" i="67"/>
  <c r="I74" i="67"/>
  <c r="I72" i="67"/>
  <c r="E72" i="67"/>
  <c r="I70" i="67"/>
  <c r="I69" i="67"/>
  <c r="I67" i="67"/>
  <c r="E67" i="67"/>
  <c r="I66" i="67"/>
  <c r="I65" i="67"/>
  <c r="E64" i="67"/>
  <c r="I63" i="67"/>
  <c r="E63" i="67"/>
  <c r="I62" i="67"/>
  <c r="E59" i="67"/>
  <c r="I51" i="67"/>
  <c r="I50" i="67"/>
  <c r="I49" i="67"/>
  <c r="I47" i="67"/>
  <c r="E47" i="67"/>
  <c r="I46" i="67"/>
  <c r="E46" i="67"/>
  <c r="Q44" i="67"/>
  <c r="R44" i="67" s="1"/>
  <c r="I44" i="67"/>
  <c r="I43" i="67"/>
  <c r="E43" i="67"/>
  <c r="I42" i="67"/>
  <c r="I41" i="67"/>
  <c r="E41" i="67"/>
  <c r="I40" i="67"/>
  <c r="E40" i="67"/>
  <c r="I39" i="67"/>
  <c r="E39" i="67"/>
  <c r="P32" i="67"/>
  <c r="I31" i="67"/>
  <c r="I29" i="67"/>
  <c r="E29" i="67"/>
  <c r="E31" i="67" s="1"/>
  <c r="I28" i="67"/>
  <c r="I23" i="67"/>
  <c r="I25" i="67" s="1"/>
  <c r="E23" i="67"/>
  <c r="E25" i="67" s="1"/>
  <c r="I22" i="67"/>
  <c r="I19" i="67"/>
  <c r="I16" i="67"/>
  <c r="I13" i="67"/>
  <c r="I9" i="67"/>
  <c r="E9" i="67"/>
  <c r="K84" i="67" l="1"/>
  <c r="K34" i="67"/>
  <c r="K51" i="67"/>
  <c r="K94" i="67" s="1"/>
  <c r="E94" i="67"/>
  <c r="F94" i="67"/>
  <c r="L44" i="67"/>
  <c r="E30" i="49"/>
  <c r="F14" i="7" l="1"/>
  <c r="J43" i="8" l="1"/>
  <c r="P43" i="8" s="1"/>
  <c r="J13" i="8"/>
  <c r="M13" i="8" l="1"/>
  <c r="M18" i="8" s="1"/>
  <c r="J18" i="8"/>
  <c r="E58" i="5"/>
  <c r="D14" i="64" l="1"/>
  <c r="J103" i="8" l="1"/>
  <c r="P103" i="8" l="1"/>
  <c r="P108" i="8" s="1"/>
  <c r="J108" i="8"/>
  <c r="A18" i="49"/>
  <c r="A19" i="49"/>
  <c r="A20" i="49"/>
  <c r="C24" i="47" l="1"/>
  <c r="C16" i="49" s="1"/>
  <c r="C32" i="64"/>
  <c r="C24" i="46" l="1"/>
  <c r="H24" i="46" s="1"/>
  <c r="AP62" i="15"/>
  <c r="AP61" i="15"/>
  <c r="AP59" i="15"/>
  <c r="AP35" i="15"/>
  <c r="D18" i="10"/>
  <c r="J127" i="8"/>
  <c r="M127" i="8" s="1"/>
  <c r="G90" i="8"/>
  <c r="M90" i="8"/>
  <c r="L31" i="46" s="1"/>
  <c r="Q31" i="46" s="1"/>
  <c r="D90" i="8"/>
  <c r="J88" i="8"/>
  <c r="P88" i="8" s="1"/>
  <c r="G85" i="8"/>
  <c r="G75" i="8"/>
  <c r="D75" i="8"/>
  <c r="J42" i="8"/>
  <c r="H34" i="46" l="1"/>
  <c r="M75" i="8"/>
  <c r="L31" i="47"/>
  <c r="L18" i="49" s="1"/>
  <c r="M42" i="8"/>
  <c r="F51" i="7"/>
  <c r="F52" i="7"/>
  <c r="F53" i="7"/>
  <c r="F54" i="7"/>
  <c r="E22" i="7"/>
  <c r="D22" i="7"/>
  <c r="V48" i="15" s="1"/>
  <c r="V66" i="15" s="1"/>
  <c r="G38" i="6"/>
  <c r="H38" i="6"/>
  <c r="I38" i="6"/>
  <c r="F19" i="6"/>
  <c r="D61" i="5"/>
  <c r="D29" i="64" s="1"/>
  <c r="D32" i="64" s="1"/>
  <c r="C61" i="5"/>
  <c r="C29" i="64" s="1"/>
  <c r="E60" i="5"/>
  <c r="E61" i="5" s="1"/>
  <c r="E29" i="64" s="1"/>
  <c r="D59" i="5"/>
  <c r="E59" i="5"/>
  <c r="C59" i="5"/>
  <c r="C62" i="5" s="1"/>
  <c r="C25" i="5"/>
  <c r="D62" i="5" l="1"/>
  <c r="E62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D20" i="49"/>
  <c r="E20" i="49"/>
  <c r="D46" i="47" l="1"/>
  <c r="D37" i="48" s="1"/>
  <c r="C46" i="47"/>
  <c r="C37" i="48" s="1"/>
  <c r="D25" i="47"/>
  <c r="D15" i="47"/>
  <c r="D12" i="49" s="1"/>
  <c r="E46" i="46"/>
  <c r="E46" i="47" s="1"/>
  <c r="E37" i="48" s="1"/>
  <c r="C18" i="10" l="1"/>
  <c r="E17" i="10"/>
  <c r="J75" i="8"/>
  <c r="J41" i="8"/>
  <c r="M41" i="8" s="1"/>
  <c r="E68" i="7"/>
  <c r="E70" i="7" s="1"/>
  <c r="D68" i="7"/>
  <c r="D70" i="7" s="1"/>
  <c r="F68" i="7"/>
  <c r="F70" i="7" s="1"/>
  <c r="E43" i="6"/>
  <c r="E44" i="6" s="1"/>
  <c r="D43" i="6"/>
  <c r="D44" i="6" s="1"/>
  <c r="F43" i="6"/>
  <c r="F44" i="6" s="1"/>
  <c r="E24" i="6"/>
  <c r="D24" i="6"/>
  <c r="F23" i="6"/>
  <c r="F24" i="6" s="1"/>
  <c r="E31" i="5"/>
  <c r="N18" i="45" l="1"/>
  <c r="M18" i="45"/>
  <c r="O18" i="45"/>
  <c r="C15" i="46"/>
  <c r="E15" i="46" s="1"/>
  <c r="E15" i="47" s="1"/>
  <c r="P75" i="8"/>
  <c r="E12" i="49" l="1"/>
  <c r="C15" i="47"/>
  <c r="C12" i="49" s="1"/>
  <c r="AP56" i="15"/>
  <c r="AP57" i="15"/>
  <c r="AP58" i="15"/>
  <c r="G20" i="63" l="1"/>
  <c r="D32" i="10"/>
  <c r="M21" i="46" s="1"/>
  <c r="R21" i="46" s="1"/>
  <c r="E31" i="10"/>
  <c r="C32" i="10"/>
  <c r="L21" i="46" s="1"/>
  <c r="Q21" i="46" s="1"/>
  <c r="S21" i="46" s="1"/>
  <c r="E16" i="10"/>
  <c r="G136" i="8"/>
  <c r="J136" i="8"/>
  <c r="M136" i="8"/>
  <c r="D136" i="8"/>
  <c r="J56" i="8"/>
  <c r="P56" i="8" s="1"/>
  <c r="D58" i="8"/>
  <c r="J38" i="8"/>
  <c r="P38" i="8" s="1"/>
  <c r="E61" i="7" l="1"/>
  <c r="F36" i="7"/>
  <c r="F20" i="7"/>
  <c r="E28" i="6"/>
  <c r="D16" i="46" s="1"/>
  <c r="D71" i="5"/>
  <c r="E70" i="5"/>
  <c r="E52" i="5"/>
  <c r="E47" i="5"/>
  <c r="E48" i="5" s="1"/>
  <c r="D48" i="5"/>
  <c r="D49" i="5" s="1"/>
  <c r="C48" i="5"/>
  <c r="C49" i="5" s="1"/>
  <c r="D14" i="45" s="1"/>
  <c r="I14" i="45" s="1"/>
  <c r="K14" i="45" s="1"/>
  <c r="D11" i="5"/>
  <c r="C11" i="5"/>
  <c r="C42" i="5"/>
  <c r="D42" i="5"/>
  <c r="E30" i="5"/>
  <c r="D16" i="47" l="1"/>
  <c r="D13" i="49" s="1"/>
  <c r="I16" i="46"/>
  <c r="AE48" i="15"/>
  <c r="AE66" i="15" s="1"/>
  <c r="C29" i="47"/>
  <c r="C75" i="5"/>
  <c r="D29" i="47"/>
  <c r="D75" i="5"/>
  <c r="E49" i="5"/>
  <c r="E42" i="5"/>
  <c r="E73" i="7"/>
  <c r="E63" i="7"/>
  <c r="E72" i="7"/>
  <c r="H75" i="66"/>
  <c r="G75" i="66"/>
  <c r="F75" i="66"/>
  <c r="E75" i="66"/>
  <c r="A57" i="66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45" i="66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2" i="66"/>
  <c r="J16" i="46" l="1"/>
  <c r="E29" i="47"/>
  <c r="E75" i="5"/>
  <c r="C44" i="47" l="1"/>
  <c r="F50" i="7"/>
  <c r="AP40" i="15"/>
  <c r="AP39" i="15"/>
  <c r="J28" i="8"/>
  <c r="M28" i="8" s="1"/>
  <c r="F49" i="7" l="1"/>
  <c r="F48" i="7" l="1"/>
  <c r="E44" i="46" l="1"/>
  <c r="F19" i="7" l="1"/>
  <c r="D72" i="7" l="1"/>
  <c r="P58" i="8" l="1"/>
  <c r="C25" i="47" l="1"/>
  <c r="C33" i="42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Q45" i="70"/>
  <c r="P45" i="70"/>
  <c r="I45" i="70"/>
  <c r="I44" i="70"/>
  <c r="E44" i="70"/>
  <c r="I43" i="70"/>
  <c r="I42" i="70"/>
  <c r="E42" i="70"/>
  <c r="I41" i="70"/>
  <c r="E41" i="70"/>
  <c r="I40" i="70"/>
  <c r="K53" i="70" s="1"/>
  <c r="E40" i="70"/>
  <c r="E34" i="70"/>
  <c r="I32" i="70"/>
  <c r="I34" i="70" s="1"/>
  <c r="E32" i="70"/>
  <c r="I31" i="70"/>
  <c r="I28" i="70"/>
  <c r="E28" i="70"/>
  <c r="I26" i="70"/>
  <c r="E26" i="70"/>
  <c r="I25" i="70"/>
  <c r="I22" i="70"/>
  <c r="I19" i="70"/>
  <c r="I16" i="70"/>
  <c r="I12" i="70"/>
  <c r="E12" i="70"/>
  <c r="E97" i="70" s="1"/>
  <c r="K35" i="70" l="1"/>
  <c r="K97" i="70"/>
  <c r="L45" i="70"/>
  <c r="F97" i="70"/>
  <c r="S33" i="15" l="1"/>
  <c r="N13" i="44"/>
  <c r="M33" i="15" l="1"/>
  <c r="G33" i="15"/>
  <c r="N13" i="64" l="1"/>
  <c r="L27" i="42"/>
  <c r="J128" i="8"/>
  <c r="G132" i="8"/>
  <c r="D132" i="8"/>
  <c r="J132" i="8" l="1"/>
  <c r="M128" i="8"/>
  <c r="M132" i="8" s="1"/>
  <c r="D11" i="47"/>
  <c r="D24" i="10"/>
  <c r="D11" i="46"/>
  <c r="I11" i="46" s="1"/>
  <c r="F60" i="7" l="1"/>
  <c r="S50" i="15"/>
  <c r="P46" i="15"/>
  <c r="P34" i="15"/>
  <c r="M100" i="8"/>
  <c r="G100" i="8"/>
  <c r="D100" i="8"/>
  <c r="J40" i="8"/>
  <c r="M40" i="8" s="1"/>
  <c r="J35" i="8"/>
  <c r="M35" i="8" s="1"/>
  <c r="J34" i="8"/>
  <c r="M34" i="8" s="1"/>
  <c r="G30" i="8"/>
  <c r="G49" i="8" s="1"/>
  <c r="D30" i="8"/>
  <c r="D49" i="8" s="1"/>
  <c r="G124" i="8"/>
  <c r="D124" i="8"/>
  <c r="F11" i="14"/>
  <c r="C34" i="48" l="1"/>
  <c r="D44" i="47"/>
  <c r="D34" i="48" s="1"/>
  <c r="C45" i="47"/>
  <c r="C35" i="48" s="1"/>
  <c r="D45" i="47"/>
  <c r="D35" i="48" s="1"/>
  <c r="D41" i="47"/>
  <c r="D33" i="49" s="1"/>
  <c r="C41" i="47"/>
  <c r="C33" i="49" s="1"/>
  <c r="C31" i="48" s="1"/>
  <c r="E31" i="48" s="1"/>
  <c r="D33" i="42"/>
  <c r="E43" i="42"/>
  <c r="E25" i="42"/>
  <c r="E33" i="42" s="1"/>
  <c r="N20" i="64"/>
  <c r="E44" i="64"/>
  <c r="E45" i="47" s="1"/>
  <c r="E35" i="48" s="1"/>
  <c r="E43" i="64"/>
  <c r="D30" i="48" l="1"/>
  <c r="C30" i="48"/>
  <c r="E41" i="46"/>
  <c r="E41" i="47" s="1"/>
  <c r="AP16" i="15"/>
  <c r="AP17" i="15"/>
  <c r="AP18" i="15"/>
  <c r="AP19" i="15"/>
  <c r="AP20" i="15"/>
  <c r="AP50" i="15"/>
  <c r="AP51" i="15"/>
  <c r="AP52" i="15"/>
  <c r="AP53" i="15"/>
  <c r="AP54" i="15"/>
  <c r="AP55" i="15"/>
  <c r="AP29" i="15"/>
  <c r="D85" i="8"/>
  <c r="E30" i="48" l="1"/>
  <c r="E33" i="49"/>
  <c r="J55" i="8" l="1"/>
  <c r="J39" i="8"/>
  <c r="M39" i="8" s="1"/>
  <c r="J37" i="8"/>
  <c r="P37" i="8" s="1"/>
  <c r="J27" i="8"/>
  <c r="D24" i="8"/>
  <c r="G24" i="8"/>
  <c r="E23" i="63"/>
  <c r="H23" i="63"/>
  <c r="I23" i="63"/>
  <c r="J23" i="63"/>
  <c r="F23" i="63"/>
  <c r="G16" i="63"/>
  <c r="G17" i="63"/>
  <c r="G18" i="63"/>
  <c r="G19" i="63"/>
  <c r="G15" i="63"/>
  <c r="M55" i="8" l="1"/>
  <c r="M58" i="8" s="1"/>
  <c r="M27" i="8"/>
  <c r="E23" i="10"/>
  <c r="E15" i="10"/>
  <c r="F27" i="7"/>
  <c r="F46" i="7"/>
  <c r="F30" i="7"/>
  <c r="F45" i="7"/>
  <c r="F44" i="7"/>
  <c r="F43" i="7"/>
  <c r="D35" i="5" l="1"/>
  <c r="E19" i="48" l="1"/>
  <c r="E29" i="46"/>
  <c r="D19" i="48"/>
  <c r="D29" i="46"/>
  <c r="C19" i="48"/>
  <c r="C29" i="46"/>
  <c r="C13" i="46"/>
  <c r="H13" i="46" s="1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4" i="42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44" i="5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44" i="44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44" i="64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F15" i="14" l="1"/>
  <c r="F18" i="7" l="1"/>
  <c r="J36" i="8" l="1"/>
  <c r="G117" i="8"/>
  <c r="D117" i="8"/>
  <c r="M117" i="8"/>
  <c r="L27" i="64" s="1"/>
  <c r="M36" i="8" l="1"/>
  <c r="AP49" i="15"/>
  <c r="M124" i="8" l="1"/>
  <c r="F42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G13" i="18" l="1"/>
  <c r="E12" i="18"/>
  <c r="F17" i="18"/>
  <c r="AM23" i="15"/>
  <c r="AM21" i="15"/>
  <c r="F27" i="63"/>
  <c r="E27" i="63"/>
  <c r="G22" i="63"/>
  <c r="F28" i="63" l="1"/>
  <c r="AJ26" i="15"/>
  <c r="AJ66" i="15" s="1"/>
  <c r="G13" i="63" l="1"/>
  <c r="E28" i="63"/>
  <c r="L14" i="46" s="1"/>
  <c r="Q14" i="46" s="1"/>
  <c r="C20" i="54" l="1"/>
  <c r="L10" i="46"/>
  <c r="L11" i="46"/>
  <c r="Q11" i="46" s="1"/>
  <c r="M11" i="46"/>
  <c r="R11" i="46" s="1"/>
  <c r="M12" i="46"/>
  <c r="R12" i="46" s="1"/>
  <c r="L19" i="46"/>
  <c r="M19" i="46"/>
  <c r="L12" i="46"/>
  <c r="AP14" i="15"/>
  <c r="AP10" i="15"/>
  <c r="AP11" i="15"/>
  <c r="AP13" i="15"/>
  <c r="AP26" i="15"/>
  <c r="J33" i="8"/>
  <c r="M33" i="8" s="1"/>
  <c r="J29" i="8"/>
  <c r="J30" i="8"/>
  <c r="M30" i="8" s="1"/>
  <c r="J31" i="8"/>
  <c r="J32" i="8"/>
  <c r="P32" i="8" s="1"/>
  <c r="P49" i="8" s="1"/>
  <c r="P24" i="8"/>
  <c r="J80" i="8"/>
  <c r="P80" i="8" s="1"/>
  <c r="P85" i="8" s="1"/>
  <c r="M32" i="46" s="1"/>
  <c r="R32" i="46" s="1"/>
  <c r="E28" i="10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N14" i="44"/>
  <c r="N14" i="64"/>
  <c r="N14" i="42"/>
  <c r="E34" i="48"/>
  <c r="H41" i="65"/>
  <c r="G41" i="65"/>
  <c r="F41" i="65"/>
  <c r="L27" i="44"/>
  <c r="L33" i="44" s="1"/>
  <c r="C49" i="44" s="1"/>
  <c r="L33" i="64"/>
  <c r="E20" i="42"/>
  <c r="M27" i="45"/>
  <c r="M33" i="45" s="1"/>
  <c r="D49" i="45" s="1"/>
  <c r="I49" i="45" s="1"/>
  <c r="N53" i="64"/>
  <c r="M53" i="64"/>
  <c r="L53" i="64"/>
  <c r="D34" i="64"/>
  <c r="C34" i="64"/>
  <c r="L24" i="64"/>
  <c r="E20" i="64"/>
  <c r="E18" i="64"/>
  <c r="E16" i="64"/>
  <c r="E14" i="64"/>
  <c r="N12" i="64"/>
  <c r="A12" i="64"/>
  <c r="A13" i="64"/>
  <c r="A14" i="64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M27" i="51"/>
  <c r="M33" i="51" s="1"/>
  <c r="D24" i="46"/>
  <c r="I24" i="46" s="1"/>
  <c r="C25" i="46"/>
  <c r="D25" i="46"/>
  <c r="C12" i="47"/>
  <c r="L16" i="49"/>
  <c r="C51" i="47"/>
  <c r="C42" i="48" s="1"/>
  <c r="F29" i="13"/>
  <c r="M16" i="49"/>
  <c r="D51" i="47"/>
  <c r="D42" i="48" s="1"/>
  <c r="L47" i="47"/>
  <c r="L54" i="47" s="1"/>
  <c r="M47" i="47"/>
  <c r="M54" i="47" s="1"/>
  <c r="L19" i="48"/>
  <c r="L33" i="46"/>
  <c r="Q33" i="46" s="1"/>
  <c r="AM22" i="15"/>
  <c r="AP22" i="15" s="1"/>
  <c r="AP21" i="15"/>
  <c r="AM15" i="15"/>
  <c r="AM24" i="15"/>
  <c r="AP24" i="15" s="1"/>
  <c r="E30" i="13"/>
  <c r="K30" i="13" s="1"/>
  <c r="E29" i="13"/>
  <c r="K29" i="13" s="1"/>
  <c r="E28" i="13"/>
  <c r="K28" i="13" s="1"/>
  <c r="E11" i="13"/>
  <c r="K11" i="13" s="1"/>
  <c r="F25" i="7"/>
  <c r="E14" i="18"/>
  <c r="E17" i="18" s="1"/>
  <c r="F13" i="18"/>
  <c r="F25" i="14"/>
  <c r="F17" i="7"/>
  <c r="AP23" i="15"/>
  <c r="G21" i="63"/>
  <c r="G26" i="63"/>
  <c r="G27" i="63" s="1"/>
  <c r="G14" i="63"/>
  <c r="K79" i="13"/>
  <c r="K78" i="13"/>
  <c r="D80" i="13"/>
  <c r="E20" i="45" s="1"/>
  <c r="K76" i="13"/>
  <c r="K77" i="13"/>
  <c r="E36" i="5"/>
  <c r="E26" i="5"/>
  <c r="J66" i="8"/>
  <c r="G58" i="8"/>
  <c r="E21" i="10"/>
  <c r="F29" i="7"/>
  <c r="F28" i="7"/>
  <c r="M21" i="47"/>
  <c r="M20" i="48" s="1"/>
  <c r="M10" i="46"/>
  <c r="E13" i="14"/>
  <c r="C18" i="47"/>
  <c r="F12" i="6"/>
  <c r="F12" i="7"/>
  <c r="F13" i="7"/>
  <c r="K24" i="13"/>
  <c r="H23" i="13"/>
  <c r="K23" i="13" s="1"/>
  <c r="G22" i="13"/>
  <c r="K22" i="13" s="1"/>
  <c r="G19" i="13"/>
  <c r="K19" i="13" s="1"/>
  <c r="D25" i="10"/>
  <c r="D33" i="10" s="1"/>
  <c r="J67" i="8"/>
  <c r="P67" i="8" s="1"/>
  <c r="M69" i="8"/>
  <c r="J120" i="8"/>
  <c r="F40" i="7"/>
  <c r="F39" i="7"/>
  <c r="E20" i="6"/>
  <c r="D26" i="46" s="1"/>
  <c r="D20" i="6"/>
  <c r="F20" i="6"/>
  <c r="E26" i="46" s="1"/>
  <c r="F13" i="6"/>
  <c r="E18" i="5"/>
  <c r="AP47" i="15"/>
  <c r="AP45" i="15"/>
  <c r="AP41" i="15"/>
  <c r="AP38" i="15"/>
  <c r="AP33" i="15"/>
  <c r="AP32" i="15"/>
  <c r="AP30" i="15"/>
  <c r="AP27" i="15"/>
  <c r="AP28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N47" i="46"/>
  <c r="N47" i="47" s="1"/>
  <c r="O41" i="24" s="1"/>
  <c r="C41" i="24" s="1"/>
  <c r="O20" i="45"/>
  <c r="F43" i="45"/>
  <c r="E43" i="51"/>
  <c r="E43" i="44"/>
  <c r="J98" i="8"/>
  <c r="P100" i="8" s="1"/>
  <c r="D72" i="5"/>
  <c r="C71" i="5"/>
  <c r="E17" i="5"/>
  <c r="L21" i="47"/>
  <c r="L20" i="48" s="1"/>
  <c r="C24" i="10"/>
  <c r="L20" i="46" s="1"/>
  <c r="Q20" i="46" s="1"/>
  <c r="E30" i="10"/>
  <c r="L27" i="51"/>
  <c r="L33" i="51" s="1"/>
  <c r="AP44" i="15"/>
  <c r="E22" i="10"/>
  <c r="E14" i="10"/>
  <c r="E18" i="10" s="1"/>
  <c r="D69" i="8"/>
  <c r="F38" i="7"/>
  <c r="F37" i="7"/>
  <c r="E32" i="6"/>
  <c r="F32" i="6"/>
  <c r="D54" i="5"/>
  <c r="C54" i="5"/>
  <c r="E13" i="5"/>
  <c r="E14" i="5"/>
  <c r="E15" i="5"/>
  <c r="E12" i="5"/>
  <c r="E29" i="5"/>
  <c r="E28" i="5"/>
  <c r="E27" i="5"/>
  <c r="D61" i="7"/>
  <c r="AB48" i="15" s="1"/>
  <c r="AB66" i="15" s="1"/>
  <c r="I71" i="56"/>
  <c r="H71" i="56"/>
  <c r="G71" i="56"/>
  <c r="F71" i="56"/>
  <c r="E71" i="56"/>
  <c r="F35" i="7"/>
  <c r="M63" i="8"/>
  <c r="G63" i="8"/>
  <c r="J54" i="8"/>
  <c r="F34" i="7"/>
  <c r="F33" i="7"/>
  <c r="F32" i="7"/>
  <c r="E16" i="6"/>
  <c r="D16" i="6"/>
  <c r="C19" i="49"/>
  <c r="C20" i="49"/>
  <c r="O12" i="24"/>
  <c r="O13" i="24"/>
  <c r="O18" i="24"/>
  <c r="O20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N12" i="42"/>
  <c r="N13" i="42"/>
  <c r="L24" i="42"/>
  <c r="L53" i="42"/>
  <c r="M53" i="42"/>
  <c r="N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E12" i="51"/>
  <c r="E13" i="51"/>
  <c r="N13" i="51"/>
  <c r="E14" i="51"/>
  <c r="N14" i="51"/>
  <c r="E16" i="51"/>
  <c r="E18" i="51"/>
  <c r="E20" i="51"/>
  <c r="M24" i="51"/>
  <c r="C32" i="51"/>
  <c r="C34" i="51"/>
  <c r="E34" i="51" s="1"/>
  <c r="D32" i="51"/>
  <c r="D34" i="51" s="1"/>
  <c r="M53" i="51"/>
  <c r="N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E12" i="44"/>
  <c r="N12" i="44"/>
  <c r="E13" i="44"/>
  <c r="E16" i="44"/>
  <c r="E18" i="44"/>
  <c r="E20" i="44"/>
  <c r="M24" i="44"/>
  <c r="L53" i="44"/>
  <c r="M53" i="44"/>
  <c r="N53" i="44"/>
  <c r="N16" i="45"/>
  <c r="N24" i="45" s="1"/>
  <c r="G12" i="18"/>
  <c r="G14" i="18" s="1"/>
  <c r="G17" i="18" s="1"/>
  <c r="O14" i="45"/>
  <c r="AP46" i="15"/>
  <c r="AP37" i="15"/>
  <c r="AP31" i="15"/>
  <c r="AP34" i="15"/>
  <c r="AP43" i="15"/>
  <c r="AP42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C40" i="13"/>
  <c r="D40" i="13"/>
  <c r="K75" i="13"/>
  <c r="R75" i="13"/>
  <c r="C80" i="13"/>
  <c r="D20" i="45" s="1"/>
  <c r="I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12" i="45"/>
  <c r="F13" i="45"/>
  <c r="F14" i="45"/>
  <c r="F16" i="45"/>
  <c r="F18" i="45"/>
  <c r="M53" i="45"/>
  <c r="N53" i="45"/>
  <c r="O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E10" i="46"/>
  <c r="N29" i="46"/>
  <c r="E42" i="46"/>
  <c r="E51" i="46"/>
  <c r="J63" i="8"/>
  <c r="D63" i="8"/>
  <c r="P63" i="8"/>
  <c r="J79" i="8"/>
  <c r="J90" i="8"/>
  <c r="M27" i="44"/>
  <c r="M33" i="44" s="1"/>
  <c r="D49" i="44" s="1"/>
  <c r="F15" i="7"/>
  <c r="F16" i="7"/>
  <c r="F26" i="7"/>
  <c r="F31" i="7"/>
  <c r="F14" i="6"/>
  <c r="F35" i="6"/>
  <c r="F36" i="6" s="1"/>
  <c r="D36" i="6"/>
  <c r="E36" i="6"/>
  <c r="E10" i="5"/>
  <c r="D13" i="46"/>
  <c r="I13" i="46" s="1"/>
  <c r="J13" i="46" s="1"/>
  <c r="E66" i="5"/>
  <c r="E67" i="5"/>
  <c r="E68" i="5"/>
  <c r="A10" i="49"/>
  <c r="A11" i="49" s="1"/>
  <c r="A12" i="49" s="1"/>
  <c r="A13" i="49" s="1"/>
  <c r="A14" i="49" s="1"/>
  <c r="A15" i="49" s="1"/>
  <c r="A16" i="49" s="1"/>
  <c r="A17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E34" i="49"/>
  <c r="L44" i="49"/>
  <c r="M44" i="49"/>
  <c r="N44" i="49"/>
  <c r="E10" i="48"/>
  <c r="E32" i="48"/>
  <c r="E10" i="47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D42" i="47"/>
  <c r="E42" i="47" s="1"/>
  <c r="O12" i="45"/>
  <c r="L53" i="51"/>
  <c r="L33" i="42"/>
  <c r="C49" i="42" s="1"/>
  <c r="D54" i="46"/>
  <c r="I54" i="46" s="1"/>
  <c r="C54" i="46"/>
  <c r="H54" i="46" s="1"/>
  <c r="K80" i="13"/>
  <c r="L24" i="44"/>
  <c r="L24" i="51"/>
  <c r="C48" i="51" s="1"/>
  <c r="N12" i="51"/>
  <c r="M24" i="64"/>
  <c r="M24" i="42"/>
  <c r="E24" i="10"/>
  <c r="J111" i="8"/>
  <c r="J117" i="8" s="1"/>
  <c r="N27" i="64" s="1"/>
  <c r="E89" i="58"/>
  <c r="F89" i="58"/>
  <c r="O13" i="45"/>
  <c r="S11" i="46" l="1"/>
  <c r="J24" i="46"/>
  <c r="D26" i="47"/>
  <c r="D19" i="49" s="1"/>
  <c r="I26" i="46"/>
  <c r="J26" i="46" s="1"/>
  <c r="M10" i="47"/>
  <c r="M10" i="48" s="1"/>
  <c r="R10" i="46"/>
  <c r="L10" i="47"/>
  <c r="Q10" i="46"/>
  <c r="D17" i="49"/>
  <c r="I25" i="46"/>
  <c r="J25" i="46" s="1"/>
  <c r="J54" i="46"/>
  <c r="L12" i="47"/>
  <c r="L12" i="48" s="1"/>
  <c r="Q12" i="46"/>
  <c r="S12" i="46" s="1"/>
  <c r="E32" i="45"/>
  <c r="J20" i="45"/>
  <c r="K20" i="45" s="1"/>
  <c r="AM66" i="15"/>
  <c r="C42" i="24"/>
  <c r="D41" i="24"/>
  <c r="J49" i="8"/>
  <c r="E38" i="6"/>
  <c r="E25" i="5"/>
  <c r="E37" i="5" s="1"/>
  <c r="G23" i="63"/>
  <c r="G28" i="63" s="1"/>
  <c r="F28" i="14"/>
  <c r="E32" i="64"/>
  <c r="M31" i="8"/>
  <c r="J85" i="8"/>
  <c r="D13" i="47"/>
  <c r="D74" i="5"/>
  <c r="E32" i="10"/>
  <c r="N21" i="46" s="1"/>
  <c r="J124" i="8"/>
  <c r="P120" i="8"/>
  <c r="M27" i="42" s="1"/>
  <c r="F22" i="7"/>
  <c r="E25" i="47"/>
  <c r="E17" i="49" s="1"/>
  <c r="E46" i="6"/>
  <c r="E24" i="46"/>
  <c r="C14" i="42"/>
  <c r="C32" i="42" s="1"/>
  <c r="C34" i="42" s="1"/>
  <c r="C74" i="5"/>
  <c r="C13" i="47"/>
  <c r="E11" i="5"/>
  <c r="E44" i="5" s="1"/>
  <c r="D93" i="8"/>
  <c r="D73" i="7"/>
  <c r="D63" i="7"/>
  <c r="D75" i="7" s="1"/>
  <c r="C17" i="49"/>
  <c r="C30" i="47"/>
  <c r="C26" i="46"/>
  <c r="C30" i="46"/>
  <c r="C11" i="46"/>
  <c r="H11" i="46" s="1"/>
  <c r="C11" i="47"/>
  <c r="C11" i="48" s="1"/>
  <c r="E44" i="47"/>
  <c r="M79" i="8"/>
  <c r="D48" i="64"/>
  <c r="C48" i="64"/>
  <c r="E34" i="64"/>
  <c r="E30" i="47"/>
  <c r="D30" i="47"/>
  <c r="D22" i="49" s="1"/>
  <c r="C55" i="5"/>
  <c r="C14" i="44"/>
  <c r="D55" i="5"/>
  <c r="D77" i="5" s="1"/>
  <c r="D14" i="44"/>
  <c r="D32" i="44" s="1"/>
  <c r="D34" i="44" s="1"/>
  <c r="D48" i="44" s="1"/>
  <c r="D53" i="44" s="1"/>
  <c r="D54" i="44" s="1"/>
  <c r="D11" i="48"/>
  <c r="N24" i="42"/>
  <c r="N24" i="51"/>
  <c r="E48" i="51" s="1"/>
  <c r="M34" i="51"/>
  <c r="M54" i="51" s="1"/>
  <c r="J24" i="8"/>
  <c r="M29" i="8"/>
  <c r="M20" i="46"/>
  <c r="C25" i="10"/>
  <c r="E30" i="46"/>
  <c r="D30" i="46"/>
  <c r="E25" i="46"/>
  <c r="F16" i="6"/>
  <c r="E35" i="5"/>
  <c r="E54" i="5"/>
  <c r="E55" i="5" s="1"/>
  <c r="H21" i="13"/>
  <c r="H40" i="13" s="1"/>
  <c r="D20" i="47"/>
  <c r="D16" i="48" s="1"/>
  <c r="M37" i="48"/>
  <c r="M44" i="48" s="1"/>
  <c r="D24" i="47"/>
  <c r="N16" i="49"/>
  <c r="E51" i="47"/>
  <c r="E42" i="48" s="1"/>
  <c r="L17" i="46"/>
  <c r="Q17" i="46" s="1"/>
  <c r="J53" i="8"/>
  <c r="J58" i="8" s="1"/>
  <c r="L18" i="46"/>
  <c r="C12" i="48"/>
  <c r="L37" i="48"/>
  <c r="L44" i="48" s="1"/>
  <c r="D54" i="47"/>
  <c r="AP15" i="15"/>
  <c r="C54" i="47"/>
  <c r="N24" i="64"/>
  <c r="L34" i="64"/>
  <c r="L54" i="64" s="1"/>
  <c r="L34" i="42"/>
  <c r="L54" i="42" s="1"/>
  <c r="G69" i="8"/>
  <c r="G93" i="8" s="1"/>
  <c r="M28" i="47"/>
  <c r="M15" i="49" s="1"/>
  <c r="M28" i="46"/>
  <c r="R28" i="46" s="1"/>
  <c r="P111" i="8"/>
  <c r="P117" i="8" s="1"/>
  <c r="M27" i="64" s="1"/>
  <c r="J97" i="8"/>
  <c r="M24" i="8"/>
  <c r="N27" i="44"/>
  <c r="N33" i="44" s="1"/>
  <c r="E49" i="44" s="1"/>
  <c r="L19" i="47"/>
  <c r="L18" i="48" s="1"/>
  <c r="N19" i="46"/>
  <c r="N19" i="47" s="1"/>
  <c r="M19" i="47"/>
  <c r="M18" i="48" s="1"/>
  <c r="N24" i="44"/>
  <c r="C49" i="64"/>
  <c r="L34" i="44"/>
  <c r="L54" i="44" s="1"/>
  <c r="M34" i="44"/>
  <c r="M54" i="44" s="1"/>
  <c r="N27" i="51"/>
  <c r="N33" i="51" s="1"/>
  <c r="E49" i="51" s="1"/>
  <c r="N21" i="47"/>
  <c r="N20" i="48" s="1"/>
  <c r="G21" i="13"/>
  <c r="F61" i="7"/>
  <c r="F73" i="7" s="1"/>
  <c r="M18" i="46"/>
  <c r="M12" i="47"/>
  <c r="M12" i="48" s="1"/>
  <c r="N12" i="46"/>
  <c r="N10" i="46"/>
  <c r="E54" i="46"/>
  <c r="M14" i="46"/>
  <c r="R14" i="46" s="1"/>
  <c r="S14" i="46" s="1"/>
  <c r="D14" i="42"/>
  <c r="D32" i="42" s="1"/>
  <c r="E71" i="5"/>
  <c r="C72" i="5"/>
  <c r="E32" i="51"/>
  <c r="L10" i="48"/>
  <c r="L30" i="47"/>
  <c r="L30" i="46"/>
  <c r="Q30" i="46" s="1"/>
  <c r="N54" i="47"/>
  <c r="N37" i="48"/>
  <c r="N44" i="48" s="1"/>
  <c r="P66" i="8"/>
  <c r="P69" i="8" s="1"/>
  <c r="J69" i="8"/>
  <c r="L11" i="47"/>
  <c r="N11" i="46"/>
  <c r="M30" i="47"/>
  <c r="M17" i="49" s="1"/>
  <c r="M30" i="46"/>
  <c r="R30" i="46" s="1"/>
  <c r="AP25" i="15"/>
  <c r="L33" i="47"/>
  <c r="L20" i="49" s="1"/>
  <c r="D11" i="49"/>
  <c r="C49" i="51"/>
  <c r="L34" i="51"/>
  <c r="L54" i="51" s="1"/>
  <c r="E30" i="14"/>
  <c r="D17" i="46" s="1"/>
  <c r="F26" i="13"/>
  <c r="F40" i="13" s="1"/>
  <c r="D17" i="47" s="1"/>
  <c r="D12" i="48"/>
  <c r="E20" i="46"/>
  <c r="C20" i="47"/>
  <c r="F20" i="45"/>
  <c r="F32" i="45" s="1"/>
  <c r="F34" i="45" s="1"/>
  <c r="D32" i="45"/>
  <c r="D30" i="14"/>
  <c r="E26" i="13"/>
  <c r="F13" i="14"/>
  <c r="D48" i="51"/>
  <c r="D53" i="51" s="1"/>
  <c r="D54" i="51" s="1"/>
  <c r="E12" i="46"/>
  <c r="E12" i="47" s="1"/>
  <c r="E12" i="48" s="1"/>
  <c r="M33" i="47"/>
  <c r="M20" i="49" s="1"/>
  <c r="M33" i="46"/>
  <c r="R33" i="46" s="1"/>
  <c r="S33" i="46" s="1"/>
  <c r="M11" i="47"/>
  <c r="N10" i="47" l="1"/>
  <c r="N10" i="48" s="1"/>
  <c r="D33" i="46"/>
  <c r="I17" i="46"/>
  <c r="I33" i="46" s="1"/>
  <c r="D34" i="46"/>
  <c r="D35" i="46" s="1"/>
  <c r="D55" i="46" s="1"/>
  <c r="I30" i="46"/>
  <c r="J30" i="46" s="1"/>
  <c r="J34" i="46" s="1"/>
  <c r="S30" i="46"/>
  <c r="M18" i="47"/>
  <c r="M17" i="48" s="1"/>
  <c r="R18" i="46"/>
  <c r="L18" i="47"/>
  <c r="L17" i="48" s="1"/>
  <c r="Q18" i="46"/>
  <c r="E26" i="47"/>
  <c r="E19" i="49" s="1"/>
  <c r="J11" i="46"/>
  <c r="M20" i="47"/>
  <c r="M19" i="48" s="1"/>
  <c r="R20" i="46"/>
  <c r="S20" i="46" s="1"/>
  <c r="S10" i="46"/>
  <c r="E34" i="45"/>
  <c r="J32" i="45"/>
  <c r="D34" i="45"/>
  <c r="I34" i="45" s="1"/>
  <c r="I32" i="45"/>
  <c r="E41" i="24"/>
  <c r="D42" i="24"/>
  <c r="M49" i="8"/>
  <c r="C22" i="49"/>
  <c r="C53" i="64"/>
  <c r="C54" i="64" s="1"/>
  <c r="D33" i="47"/>
  <c r="C48" i="42"/>
  <c r="C53" i="42" s="1"/>
  <c r="C54" i="42" s="1"/>
  <c r="C77" i="5"/>
  <c r="M32" i="47"/>
  <c r="M19" i="49" s="1"/>
  <c r="P90" i="8"/>
  <c r="M31" i="46" s="1"/>
  <c r="R31" i="46" s="1"/>
  <c r="S31" i="46" s="1"/>
  <c r="M85" i="8"/>
  <c r="L32" i="46" s="1"/>
  <c r="P124" i="8"/>
  <c r="N27" i="42"/>
  <c r="N33" i="42" s="1"/>
  <c r="E49" i="42" s="1"/>
  <c r="E24" i="47"/>
  <c r="D34" i="47"/>
  <c r="E72" i="5"/>
  <c r="L17" i="47"/>
  <c r="L16" i="48" s="1"/>
  <c r="F63" i="7"/>
  <c r="F75" i="7" s="1"/>
  <c r="F72" i="7"/>
  <c r="F28" i="6"/>
  <c r="F38" i="6" s="1"/>
  <c r="D28" i="6"/>
  <c r="E11" i="46"/>
  <c r="E11" i="47"/>
  <c r="E11" i="48" s="1"/>
  <c r="N18" i="48"/>
  <c r="O29" i="24"/>
  <c r="L50" i="46"/>
  <c r="Q50" i="46" s="1"/>
  <c r="M27" i="46"/>
  <c r="R27" i="46" s="1"/>
  <c r="N27" i="45"/>
  <c r="O27" i="45" s="1"/>
  <c r="O33" i="45" s="1"/>
  <c r="F49" i="45" s="1"/>
  <c r="J100" i="8"/>
  <c r="J138" i="8" s="1"/>
  <c r="E48" i="64"/>
  <c r="C32" i="44"/>
  <c r="C34" i="44" s="1"/>
  <c r="E14" i="44"/>
  <c r="E32" i="44" s="1"/>
  <c r="D34" i="42"/>
  <c r="E34" i="42" s="1"/>
  <c r="D14" i="48"/>
  <c r="E53" i="51"/>
  <c r="E54" i="51" s="1"/>
  <c r="J93" i="8"/>
  <c r="N20" i="47"/>
  <c r="N19" i="48" s="1"/>
  <c r="N20" i="46"/>
  <c r="C33" i="10"/>
  <c r="E25" i="10"/>
  <c r="E33" i="10" s="1"/>
  <c r="K21" i="13"/>
  <c r="D13" i="48"/>
  <c r="D16" i="49"/>
  <c r="E54" i="47"/>
  <c r="O21" i="24" s="1"/>
  <c r="C21" i="24" s="1"/>
  <c r="D21" i="24" s="1"/>
  <c r="E21" i="24" s="1"/>
  <c r="F21" i="24" s="1"/>
  <c r="G21" i="24" s="1"/>
  <c r="H21" i="24" s="1"/>
  <c r="I21" i="24" s="1"/>
  <c r="J21" i="24" s="1"/>
  <c r="K21" i="24" s="1"/>
  <c r="L21" i="24" s="1"/>
  <c r="M21" i="24" s="1"/>
  <c r="N21" i="24" s="1"/>
  <c r="G138" i="8"/>
  <c r="L24" i="46"/>
  <c r="Q24" i="46" s="1"/>
  <c r="O25" i="24"/>
  <c r="C25" i="24" s="1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L28" i="47"/>
  <c r="M33" i="64"/>
  <c r="N34" i="44"/>
  <c r="N54" i="44" s="1"/>
  <c r="N30" i="46"/>
  <c r="N34" i="51"/>
  <c r="N54" i="51" s="1"/>
  <c r="G40" i="13"/>
  <c r="N18" i="46"/>
  <c r="N18" i="47" s="1"/>
  <c r="N17" i="48" s="1"/>
  <c r="N12" i="47"/>
  <c r="O27" i="24" s="1"/>
  <c r="C27" i="24" s="1"/>
  <c r="D27" i="24" s="1"/>
  <c r="M24" i="45"/>
  <c r="O16" i="45"/>
  <c r="O24" i="45" s="1"/>
  <c r="M14" i="47"/>
  <c r="M14" i="48" s="1"/>
  <c r="E14" i="42"/>
  <c r="E32" i="42" s="1"/>
  <c r="E48" i="42" s="1"/>
  <c r="C16" i="48"/>
  <c r="E20" i="47"/>
  <c r="C53" i="51"/>
  <c r="C54" i="51" s="1"/>
  <c r="C17" i="46"/>
  <c r="F30" i="14"/>
  <c r="E17" i="46" s="1"/>
  <c r="N14" i="46"/>
  <c r="L14" i="47"/>
  <c r="L14" i="48" s="1"/>
  <c r="L11" i="48"/>
  <c r="N11" i="47"/>
  <c r="L17" i="49"/>
  <c r="N17" i="49" s="1"/>
  <c r="N30" i="47"/>
  <c r="O37" i="24" s="1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E40" i="13"/>
  <c r="K26" i="13"/>
  <c r="M11" i="48"/>
  <c r="O17" i="24"/>
  <c r="C17" i="24" s="1"/>
  <c r="D17" i="24" s="1"/>
  <c r="E22" i="49"/>
  <c r="N17" i="46"/>
  <c r="N17" i="47" s="1"/>
  <c r="N33" i="46"/>
  <c r="N33" i="47"/>
  <c r="C13" i="48"/>
  <c r="L32" i="47" l="1"/>
  <c r="L19" i="49" s="1"/>
  <c r="Q32" i="46"/>
  <c r="S32" i="46" s="1"/>
  <c r="S18" i="46"/>
  <c r="I35" i="46"/>
  <c r="C33" i="46"/>
  <c r="H17" i="46"/>
  <c r="I34" i="46"/>
  <c r="D48" i="45"/>
  <c r="I48" i="45" s="1"/>
  <c r="J34" i="45"/>
  <c r="K34" i="45" s="1"/>
  <c r="E48" i="45"/>
  <c r="J48" i="45" s="1"/>
  <c r="K32" i="45"/>
  <c r="E17" i="24"/>
  <c r="D19" i="24"/>
  <c r="F41" i="24"/>
  <c r="E42" i="24"/>
  <c r="E27" i="24"/>
  <c r="C16" i="46"/>
  <c r="D38" i="6"/>
  <c r="D46" i="6" s="1"/>
  <c r="E77" i="5"/>
  <c r="P138" i="8"/>
  <c r="E16" i="49"/>
  <c r="E13" i="46"/>
  <c r="E33" i="46" s="1"/>
  <c r="E13" i="47"/>
  <c r="E74" i="5"/>
  <c r="P93" i="8"/>
  <c r="N32" i="46"/>
  <c r="M93" i="8"/>
  <c r="M31" i="47"/>
  <c r="M18" i="49" s="1"/>
  <c r="N31" i="46"/>
  <c r="N31" i="47" s="1"/>
  <c r="N18" i="49" s="1"/>
  <c r="M33" i="42"/>
  <c r="N34" i="42"/>
  <c r="N54" i="42" s="1"/>
  <c r="E53" i="42"/>
  <c r="E54" i="42" s="1"/>
  <c r="O15" i="24"/>
  <c r="O19" i="24" s="1"/>
  <c r="D25" i="49"/>
  <c r="D26" i="49" s="1"/>
  <c r="F46" i="6"/>
  <c r="M34" i="45"/>
  <c r="M54" i="45" s="1"/>
  <c r="D22" i="48"/>
  <c r="D24" i="48" s="1"/>
  <c r="L27" i="46"/>
  <c r="N33" i="45"/>
  <c r="N34" i="45" s="1"/>
  <c r="N54" i="45" s="1"/>
  <c r="O8" i="24"/>
  <c r="C8" i="24" s="1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34" i="44"/>
  <c r="E48" i="44" s="1"/>
  <c r="E53" i="44" s="1"/>
  <c r="E54" i="44" s="1"/>
  <c r="C48" i="44"/>
  <c r="C53" i="44" s="1"/>
  <c r="C54" i="44" s="1"/>
  <c r="D35" i="47"/>
  <c r="D55" i="47" s="1"/>
  <c r="O32" i="24"/>
  <c r="C32" i="24" s="1"/>
  <c r="D32" i="24" s="1"/>
  <c r="E32" i="24" s="1"/>
  <c r="F32" i="24" s="1"/>
  <c r="G32" i="24" s="1"/>
  <c r="H32" i="24" s="1"/>
  <c r="I32" i="24" s="1"/>
  <c r="J32" i="24" s="1"/>
  <c r="K32" i="24" s="1"/>
  <c r="L32" i="24" s="1"/>
  <c r="M32" i="24" s="1"/>
  <c r="N32" i="24" s="1"/>
  <c r="L28" i="46"/>
  <c r="N33" i="64"/>
  <c r="N34" i="64" s="1"/>
  <c r="N54" i="64" s="1"/>
  <c r="L15" i="49"/>
  <c r="N15" i="49" s="1"/>
  <c r="N28" i="47"/>
  <c r="O35" i="24" s="1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M27" i="47"/>
  <c r="M14" i="49" s="1"/>
  <c r="M138" i="8"/>
  <c r="M34" i="46"/>
  <c r="R34" i="46" s="1"/>
  <c r="O34" i="45"/>
  <c r="O54" i="45" s="1"/>
  <c r="K40" i="13"/>
  <c r="O31" i="24"/>
  <c r="C31" i="24" s="1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N12" i="48"/>
  <c r="F48" i="45"/>
  <c r="F53" i="45" s="1"/>
  <c r="F54" i="45" s="1"/>
  <c r="N14" i="47"/>
  <c r="L22" i="48"/>
  <c r="L24" i="48" s="1"/>
  <c r="L24" i="47"/>
  <c r="O39" i="24"/>
  <c r="C39" i="24" s="1"/>
  <c r="D39" i="24" s="1"/>
  <c r="E39" i="24" s="1"/>
  <c r="F39" i="24" s="1"/>
  <c r="G39" i="24" s="1"/>
  <c r="H39" i="24" s="1"/>
  <c r="I39" i="24" s="1"/>
  <c r="J39" i="24" s="1"/>
  <c r="K39" i="24" s="1"/>
  <c r="L39" i="24" s="1"/>
  <c r="M39" i="24" s="1"/>
  <c r="N39" i="24" s="1"/>
  <c r="N20" i="49"/>
  <c r="C17" i="47"/>
  <c r="C33" i="47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N26" i="24" s="1"/>
  <c r="N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N11" i="24" s="1"/>
  <c r="E16" i="48"/>
  <c r="N24" i="46"/>
  <c r="M34" i="64"/>
  <c r="M54" i="64" s="1"/>
  <c r="D49" i="64"/>
  <c r="D53" i="64" s="1"/>
  <c r="D54" i="64" s="1"/>
  <c r="N16" i="48"/>
  <c r="O30" i="24"/>
  <c r="C19" i="24"/>
  <c r="N27" i="46" l="1"/>
  <c r="Q27" i="46"/>
  <c r="S27" i="46" s="1"/>
  <c r="I55" i="46"/>
  <c r="N28" i="46"/>
  <c r="N34" i="46" s="1"/>
  <c r="N35" i="46" s="1"/>
  <c r="Q28" i="46"/>
  <c r="S28" i="46" s="1"/>
  <c r="N32" i="47"/>
  <c r="O38" i="24" s="1"/>
  <c r="C38" i="24" s="1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J17" i="46"/>
  <c r="J33" i="46" s="1"/>
  <c r="J35" i="46" s="1"/>
  <c r="H33" i="46"/>
  <c r="H35" i="46" s="1"/>
  <c r="D53" i="45"/>
  <c r="D54" i="45" s="1"/>
  <c r="K48" i="45"/>
  <c r="M49" i="46"/>
  <c r="R49" i="46" s="1"/>
  <c r="F17" i="24"/>
  <c r="E19" i="24"/>
  <c r="G41" i="24"/>
  <c r="F42" i="24"/>
  <c r="F27" i="24"/>
  <c r="E16" i="46"/>
  <c r="C16" i="47"/>
  <c r="C34" i="46"/>
  <c r="C35" i="46" s="1"/>
  <c r="C55" i="46" s="1"/>
  <c r="E13" i="48"/>
  <c r="M21" i="49"/>
  <c r="M26" i="49" s="1"/>
  <c r="M45" i="49" s="1"/>
  <c r="D49" i="42"/>
  <c r="D53" i="42" s="1"/>
  <c r="D54" i="42" s="1"/>
  <c r="M34" i="42"/>
  <c r="M54" i="42" s="1"/>
  <c r="N14" i="48"/>
  <c r="N22" i="48" s="1"/>
  <c r="N24" i="48" s="1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L45" i="48"/>
  <c r="E49" i="45"/>
  <c r="L27" i="47"/>
  <c r="L14" i="49" s="1"/>
  <c r="L21" i="49" s="1"/>
  <c r="L26" i="49" s="1"/>
  <c r="O9" i="24"/>
  <c r="C9" i="24" s="1"/>
  <c r="D9" i="24" s="1"/>
  <c r="L34" i="46"/>
  <c r="E49" i="64"/>
  <c r="E53" i="64" s="1"/>
  <c r="E54" i="64" s="1"/>
  <c r="M34" i="47"/>
  <c r="L49" i="46"/>
  <c r="N24" i="47"/>
  <c r="E17" i="47"/>
  <c r="E33" i="47" s="1"/>
  <c r="C14" i="48"/>
  <c r="C22" i="48" s="1"/>
  <c r="C24" i="48" s="1"/>
  <c r="C26" i="48" s="1"/>
  <c r="J55" i="46" l="1"/>
  <c r="N19" i="49"/>
  <c r="L35" i="46"/>
  <c r="C37" i="46" s="1"/>
  <c r="Q34" i="46"/>
  <c r="H55" i="46"/>
  <c r="L54" i="46"/>
  <c r="Q54" i="46" s="1"/>
  <c r="Q49" i="46"/>
  <c r="S49" i="46" s="1"/>
  <c r="E53" i="45"/>
  <c r="J49" i="45"/>
  <c r="K49" i="45" s="1"/>
  <c r="G17" i="24"/>
  <c r="F19" i="24"/>
  <c r="C27" i="48"/>
  <c r="H41" i="24"/>
  <c r="G42" i="24"/>
  <c r="E33" i="24"/>
  <c r="D33" i="24"/>
  <c r="G27" i="24"/>
  <c r="F33" i="24"/>
  <c r="E9" i="24"/>
  <c r="C13" i="49"/>
  <c r="C25" i="49" s="1"/>
  <c r="C34" i="47"/>
  <c r="C35" i="47" s="1"/>
  <c r="E35" i="47" s="1"/>
  <c r="E55" i="47" s="1"/>
  <c r="E16" i="47"/>
  <c r="E34" i="46"/>
  <c r="D28" i="49"/>
  <c r="D36" i="49" s="1"/>
  <c r="D44" i="49" s="1"/>
  <c r="D45" i="49" s="1"/>
  <c r="E35" i="46"/>
  <c r="E37" i="46" s="1"/>
  <c r="C11" i="49"/>
  <c r="N45" i="48"/>
  <c r="M50" i="46"/>
  <c r="L34" i="47"/>
  <c r="L35" i="47" s="1"/>
  <c r="L55" i="47" s="1"/>
  <c r="N27" i="47"/>
  <c r="O34" i="24" s="1"/>
  <c r="N50" i="46"/>
  <c r="N49" i="46"/>
  <c r="C33" i="24"/>
  <c r="O33" i="24"/>
  <c r="L45" i="49"/>
  <c r="E14" i="48"/>
  <c r="E22" i="48" s="1"/>
  <c r="E24" i="48" s="1"/>
  <c r="E26" i="48" s="1"/>
  <c r="O10" i="24"/>
  <c r="S34" i="46" l="1"/>
  <c r="Q35" i="46"/>
  <c r="H37" i="46" s="1"/>
  <c r="M54" i="46"/>
  <c r="R54" i="46" s="1"/>
  <c r="R50" i="46"/>
  <c r="S50" i="46" s="1"/>
  <c r="L55" i="46"/>
  <c r="E54" i="45"/>
  <c r="C26" i="49"/>
  <c r="C28" i="49" s="1"/>
  <c r="H17" i="24"/>
  <c r="G19" i="24"/>
  <c r="C29" i="49"/>
  <c r="E27" i="48"/>
  <c r="E29" i="49" s="1"/>
  <c r="C36" i="48"/>
  <c r="C44" i="48" s="1"/>
  <c r="C45" i="48" s="1"/>
  <c r="I41" i="24"/>
  <c r="H42" i="24"/>
  <c r="H27" i="24"/>
  <c r="G33" i="24"/>
  <c r="F9" i="24"/>
  <c r="E13" i="49"/>
  <c r="E25" i="49" s="1"/>
  <c r="E34" i="47"/>
  <c r="C55" i="47"/>
  <c r="E55" i="46"/>
  <c r="E11" i="49"/>
  <c r="N14" i="49"/>
  <c r="N21" i="49" s="1"/>
  <c r="N26" i="49" s="1"/>
  <c r="C37" i="47"/>
  <c r="N34" i="47"/>
  <c r="N35" i="47" s="1"/>
  <c r="E37" i="47" s="1"/>
  <c r="N54" i="46"/>
  <c r="N55" i="46" s="1"/>
  <c r="C10" i="24"/>
  <c r="D10" i="24" s="1"/>
  <c r="O14" i="24"/>
  <c r="O22" i="24" s="1"/>
  <c r="O40" i="24"/>
  <c r="O43" i="24" s="1"/>
  <c r="C34" i="24"/>
  <c r="D34" i="24" s="1"/>
  <c r="S54" i="46" l="1"/>
  <c r="Q55" i="46"/>
  <c r="E36" i="48"/>
  <c r="E44" i="48" s="1"/>
  <c r="E45" i="48" s="1"/>
  <c r="I17" i="24"/>
  <c r="H19" i="24"/>
  <c r="C36" i="49"/>
  <c r="C44" i="49" s="1"/>
  <c r="C45" i="49" s="1"/>
  <c r="J41" i="24"/>
  <c r="I42" i="24"/>
  <c r="E34" i="24"/>
  <c r="D40" i="24"/>
  <c r="D43" i="24" s="1"/>
  <c r="E26" i="49"/>
  <c r="E28" i="49" s="1"/>
  <c r="E36" i="49" s="1"/>
  <c r="E44" i="49" s="1"/>
  <c r="E10" i="24"/>
  <c r="D14" i="24"/>
  <c r="D22" i="24" s="1"/>
  <c r="I27" i="24"/>
  <c r="H33" i="24"/>
  <c r="G9" i="24"/>
  <c r="C14" i="24"/>
  <c r="C22" i="24" s="1"/>
  <c r="C40" i="24"/>
  <c r="C43" i="24" s="1"/>
  <c r="N45" i="49"/>
  <c r="N55" i="47"/>
  <c r="E57" i="47" s="1"/>
  <c r="J17" i="24" l="1"/>
  <c r="I19" i="24"/>
  <c r="K41" i="24"/>
  <c r="J42" i="24"/>
  <c r="F34" i="24"/>
  <c r="E40" i="24"/>
  <c r="E43" i="24" s="1"/>
  <c r="F10" i="24"/>
  <c r="E14" i="24"/>
  <c r="E22" i="24" s="1"/>
  <c r="J27" i="24"/>
  <c r="I33" i="24"/>
  <c r="H9" i="24"/>
  <c r="E45" i="49"/>
  <c r="K17" i="24" l="1"/>
  <c r="J19" i="24"/>
  <c r="L41" i="24"/>
  <c r="K42" i="24"/>
  <c r="G34" i="24"/>
  <c r="F40" i="24"/>
  <c r="F43" i="24" s="1"/>
  <c r="G10" i="24"/>
  <c r="F14" i="24"/>
  <c r="F22" i="24" s="1"/>
  <c r="K27" i="24"/>
  <c r="J33" i="24"/>
  <c r="I9" i="24"/>
  <c r="L17" i="24" l="1"/>
  <c r="K19" i="24"/>
  <c r="M41" i="24"/>
  <c r="L42" i="24"/>
  <c r="H34" i="24"/>
  <c r="G40" i="24"/>
  <c r="G43" i="24" s="1"/>
  <c r="H10" i="24"/>
  <c r="G14" i="24"/>
  <c r="G22" i="24" s="1"/>
  <c r="L27" i="24"/>
  <c r="K33" i="24"/>
  <c r="J9" i="24"/>
  <c r="E75" i="7"/>
  <c r="M17" i="46"/>
  <c r="M17" i="47" l="1"/>
  <c r="R17" i="46"/>
  <c r="S17" i="46" s="1"/>
  <c r="M17" i="24"/>
  <c r="L19" i="24"/>
  <c r="N41" i="24"/>
  <c r="N42" i="24" s="1"/>
  <c r="M42" i="24"/>
  <c r="I34" i="24"/>
  <c r="H40" i="24"/>
  <c r="H43" i="24" s="1"/>
  <c r="I10" i="24"/>
  <c r="H14" i="24"/>
  <c r="H22" i="24" s="1"/>
  <c r="M27" i="24"/>
  <c r="L33" i="24"/>
  <c r="K9" i="24"/>
  <c r="M16" i="48"/>
  <c r="M22" i="48" s="1"/>
  <c r="M24" i="48" s="1"/>
  <c r="M24" i="47"/>
  <c r="M35" i="47" s="1"/>
  <c r="M24" i="46"/>
  <c r="M35" i="46" l="1"/>
  <c r="R24" i="46"/>
  <c r="N17" i="24"/>
  <c r="N19" i="24" s="1"/>
  <c r="M19" i="24"/>
  <c r="O42" i="24"/>
  <c r="J34" i="24"/>
  <c r="I40" i="24"/>
  <c r="I43" i="24" s="1"/>
  <c r="J10" i="24"/>
  <c r="I14" i="24"/>
  <c r="I22" i="24" s="1"/>
  <c r="N27" i="24"/>
  <c r="N33" i="24" s="1"/>
  <c r="M33" i="24"/>
  <c r="L9" i="24"/>
  <c r="M45" i="48"/>
  <c r="D26" i="48"/>
  <c r="D36" i="48" s="1"/>
  <c r="D44" i="48" s="1"/>
  <c r="D45" i="48" s="1"/>
  <c r="AP48" i="15"/>
  <c r="AP66" i="15" s="1"/>
  <c r="M55" i="46"/>
  <c r="D37" i="46"/>
  <c r="D37" i="47"/>
  <c r="M55" i="47"/>
  <c r="D138" i="8"/>
  <c r="R35" i="46" l="1"/>
  <c r="S24" i="46"/>
  <c r="S35" i="46" s="1"/>
  <c r="K34" i="24"/>
  <c r="J40" i="24"/>
  <c r="J43" i="24" s="1"/>
  <c r="K10" i="24"/>
  <c r="J14" i="24"/>
  <c r="J22" i="24" s="1"/>
  <c r="M9" i="24"/>
  <c r="J37" i="46" l="1"/>
  <c r="S55" i="46"/>
  <c r="I37" i="46"/>
  <c r="R55" i="46"/>
  <c r="L34" i="24"/>
  <c r="K40" i="24"/>
  <c r="K43" i="24" s="1"/>
  <c r="L10" i="24"/>
  <c r="K14" i="24"/>
  <c r="K22" i="24" s="1"/>
  <c r="N9" i="24"/>
  <c r="M34" i="24" l="1"/>
  <c r="L40" i="24"/>
  <c r="L43" i="24" s="1"/>
  <c r="M10" i="24"/>
  <c r="L14" i="24"/>
  <c r="L22" i="24" s="1"/>
  <c r="N34" i="24" l="1"/>
  <c r="N40" i="24" s="1"/>
  <c r="N43" i="24" s="1"/>
  <c r="M40" i="24"/>
  <c r="M43" i="24" s="1"/>
  <c r="N10" i="24"/>
  <c r="N14" i="24" s="1"/>
  <c r="N22" i="24" s="1"/>
  <c r="M14" i="24"/>
  <c r="M22" i="24" s="1"/>
  <c r="H43" i="42"/>
  <c r="J43" i="42" s="1"/>
  <c r="J53" i="42"/>
  <c r="J54" i="42" s="1"/>
</calcChain>
</file>

<file path=xl/comments1.xml><?xml version="1.0" encoding="utf-8"?>
<comments xmlns="http://schemas.openxmlformats.org/spreadsheetml/2006/main">
  <authors>
    <author>Szerző</author>
  </authors>
  <commentList>
    <comment ref="G59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<sst xmlns="http://schemas.openxmlformats.org/spreadsheetml/2006/main" count="3204" uniqueCount="1353">
  <si>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</si>
  <si>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</si>
  <si>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</si>
  <si>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</si>
  <si>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</si>
  <si>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</si>
  <si>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</si>
  <si>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</si>
  <si>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</si>
  <si>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</si>
  <si>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</si>
  <si>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</si>
  <si>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</si>
  <si>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</si>
  <si>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</si>
  <si>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</si>
  <si>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</si>
  <si>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</si>
  <si>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</si>
  <si>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</si>
  <si>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</si>
  <si>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</si>
  <si>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</si>
  <si>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</si>
  <si>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</si>
  <si>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</si>
  <si>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</si>
  <si>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</si>
  <si>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</si>
  <si>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</si>
  <si>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</si>
  <si>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</si>
  <si>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</si>
  <si>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</si>
  <si>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</si>
  <si>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</si>
  <si>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</si>
  <si>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</si>
  <si>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</si>
  <si>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</si>
  <si>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</si>
  <si>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</si>
  <si>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</si>
  <si>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</si>
  <si>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</si>
  <si>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</si>
  <si>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</si>
  <si>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</si>
  <si>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</si>
  <si>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</si>
  <si>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</si>
  <si>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</si>
  <si>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</si>
  <si>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</si>
  <si>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</si>
  <si>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</si>
  <si>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</si>
  <si>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</si>
  <si>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</si>
  <si>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</si>
  <si>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</si>
  <si>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</si>
  <si>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</si>
  <si>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</si>
  <si>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</si>
  <si>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</si>
  <si>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</si>
  <si>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</si>
  <si>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</si>
  <si>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</si>
  <si>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</si>
  <si>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</si>
  <si>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</si>
  <si>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</si>
  <si>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</si>
  <si>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</si>
  <si>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</si>
  <si>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</si>
  <si>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</si>
  <si>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</si>
  <si>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</si>
  <si>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</si>
  <si>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</si>
  <si>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</si>
  <si>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</si>
  <si>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</si>
  <si>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</si>
  <si>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</si>
  <si>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</si>
  <si>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</si>
  <si>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</si>
  <si>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 xml:space="preserve">     Társult önkormányzatok orvosi ügyeleti kiadásokhoz hozzájárulás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</si>
  <si>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</si>
  <si>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</si>
  <si>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</si>
  <si>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</si>
  <si>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</si>
  <si>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</si>
  <si>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Ingatlanértékesítés</t>
  </si>
  <si>
    <t xml:space="preserve">Gépkocsiértékesítés </t>
  </si>
  <si>
    <t>Gépjármű várakozóhely megváltás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</si>
  <si>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</si>
  <si>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</si>
  <si>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</si>
  <si>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</si>
  <si>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</si>
  <si>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</si>
  <si>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</si>
  <si>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</si>
  <si>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</si>
  <si>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</si>
  <si>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</si>
  <si>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</si>
  <si>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</si>
  <si>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</si>
  <si>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</si>
  <si>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</si>
  <si>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</si>
  <si>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</si>
  <si>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</si>
  <si>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</si>
  <si>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</si>
  <si>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</si>
  <si>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</si>
  <si>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</si>
  <si>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</si>
  <si>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</si>
  <si>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</si>
  <si>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</si>
  <si>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</si>
  <si>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</si>
  <si>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</si>
  <si>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</si>
  <si>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</si>
  <si>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</si>
  <si>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</si>
  <si>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</si>
  <si>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</si>
  <si>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</si>
  <si>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</si>
  <si>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</si>
  <si>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</si>
  <si>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</si>
  <si>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</si>
  <si>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</si>
  <si>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</si>
  <si>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</si>
  <si>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</si>
  <si>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</si>
  <si>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</si>
  <si>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</si>
  <si>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</si>
  <si>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</si>
  <si>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</si>
  <si>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</si>
  <si>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</si>
  <si>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</si>
  <si>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</si>
  <si>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</si>
  <si>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</si>
  <si>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</si>
  <si>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</si>
  <si>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</si>
  <si>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</si>
  <si>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</si>
  <si>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</si>
  <si>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</si>
  <si>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</si>
  <si>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</si>
  <si>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</si>
  <si>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</si>
  <si>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</si>
  <si>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</si>
  <si>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</si>
  <si>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</si>
  <si>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</si>
  <si>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</si>
  <si>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</si>
  <si>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</si>
  <si>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</si>
  <si>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</si>
  <si>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</si>
  <si>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</si>
  <si>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</si>
  <si>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</si>
  <si>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</si>
  <si>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</si>
  <si>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</si>
  <si>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</si>
  <si>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</si>
  <si>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</si>
  <si>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</si>
  <si>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</si>
  <si>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</si>
  <si>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</si>
  <si>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</si>
  <si>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</si>
  <si>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</si>
  <si>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</si>
  <si>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</si>
  <si>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</si>
  <si>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</si>
  <si>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</si>
  <si>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</si>
  <si>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</si>
  <si>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</si>
  <si>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</si>
  <si>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</si>
  <si>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</si>
  <si>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</si>
  <si>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</si>
  <si>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</si>
  <si>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</si>
  <si>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</si>
  <si>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</si>
  <si>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</si>
  <si>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</si>
  <si>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</si>
  <si>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</si>
  <si>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</si>
  <si>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</si>
  <si>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</si>
  <si>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</si>
  <si>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</si>
  <si>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</si>
  <si>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</si>
  <si>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</si>
  <si>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</si>
  <si>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</si>
  <si>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</si>
  <si>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</si>
  <si>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</si>
  <si>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</si>
  <si>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</si>
  <si>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</si>
  <si>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</si>
  <si>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</si>
  <si>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</si>
  <si>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</si>
  <si>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</si>
  <si>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</si>
  <si>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</si>
  <si>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</si>
  <si>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</si>
  <si>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</si>
  <si>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</si>
  <si>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</si>
  <si>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</si>
  <si>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</si>
  <si>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</si>
  <si>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</si>
  <si>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</si>
  <si>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</si>
  <si>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</si>
  <si>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</si>
  <si>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</si>
  <si>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</si>
  <si>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</si>
  <si>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</si>
  <si>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</si>
  <si>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</si>
  <si>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</si>
  <si>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</si>
  <si>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</si>
  <si>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</si>
  <si>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</si>
  <si>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</si>
  <si>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</si>
  <si>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</si>
  <si>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</si>
  <si>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</si>
  <si>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</si>
  <si>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</si>
  <si>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</si>
  <si>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</si>
  <si>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</si>
  <si>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</si>
  <si>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</si>
  <si>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</si>
  <si>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</si>
  <si>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</si>
  <si>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</si>
  <si>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</si>
  <si>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</si>
  <si>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</si>
  <si>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</si>
  <si>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</si>
  <si>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</si>
  <si>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</si>
  <si>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</si>
  <si>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</si>
  <si>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</si>
  <si>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</si>
  <si>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</si>
  <si>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</si>
  <si>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</si>
  <si>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</si>
  <si>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</si>
  <si>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</si>
  <si>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</si>
  <si>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</si>
  <si>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</si>
  <si>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</si>
  <si>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</si>
  <si>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</si>
  <si>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</si>
  <si>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</si>
  <si>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</si>
  <si>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</si>
  <si>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</si>
  <si>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</si>
  <si>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</si>
  <si>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</si>
  <si>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</si>
  <si>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</si>
  <si>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</si>
  <si>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</si>
  <si>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</si>
  <si>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</si>
  <si>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</si>
  <si>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</si>
  <si>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</si>
  <si>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</si>
  <si>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</si>
  <si>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</si>
  <si>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</si>
  <si>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</si>
  <si>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</si>
  <si>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</si>
  <si>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</si>
  <si>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</si>
  <si>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</si>
  <si>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</si>
  <si>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</si>
  <si>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</si>
  <si>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</si>
  <si>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</si>
  <si>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</si>
  <si>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</si>
  <si>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</si>
  <si>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</si>
  <si>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</si>
  <si>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</si>
  <si>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</si>
  <si>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</si>
  <si>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</si>
  <si>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</si>
  <si>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</si>
  <si>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</si>
  <si>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</si>
  <si>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</si>
  <si>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</si>
  <si>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</si>
  <si>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</si>
  <si>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</si>
  <si>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</si>
  <si>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</si>
  <si>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</si>
  <si>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</si>
  <si>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</si>
  <si>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</si>
  <si>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</si>
  <si>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</si>
  <si>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</si>
  <si>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</si>
  <si>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</si>
  <si>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</si>
  <si>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</si>
  <si>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</si>
  <si>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</si>
  <si>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</si>
  <si>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</si>
  <si>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</si>
  <si>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</si>
  <si>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</si>
  <si>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</si>
  <si>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</si>
  <si>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</si>
  <si>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</si>
  <si>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</si>
  <si>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</si>
  <si>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</si>
  <si>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</si>
  <si>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</si>
  <si>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</si>
  <si>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</si>
  <si>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</si>
  <si>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</si>
  <si>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</si>
  <si>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</si>
  <si>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</si>
  <si>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</si>
  <si>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</si>
  <si>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</si>
  <si>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</si>
  <si>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</si>
  <si>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</si>
  <si>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</si>
  <si>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</si>
  <si>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</si>
  <si>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</si>
  <si>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</si>
  <si>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</si>
  <si>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</si>
  <si>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</si>
  <si>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</si>
  <si>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</si>
  <si>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</si>
  <si>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</si>
  <si>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</si>
  <si>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</si>
  <si>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</si>
  <si>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</si>
  <si>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</si>
  <si>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</si>
  <si>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</si>
  <si>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</si>
  <si>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</si>
  <si>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</si>
  <si>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</si>
  <si>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</si>
  <si>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</si>
  <si>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</si>
  <si>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</si>
  <si>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</si>
  <si>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</si>
  <si>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</si>
  <si>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</si>
  <si>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</si>
  <si>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</si>
  <si>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</si>
  <si>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</si>
  <si>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</si>
  <si>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</si>
  <si>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</si>
  <si>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</si>
  <si>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</si>
  <si>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</si>
  <si>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</si>
  <si>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</si>
  <si>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</si>
  <si>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</si>
  <si>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</si>
  <si>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</si>
  <si>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</si>
  <si>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</si>
  <si>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</si>
  <si>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</si>
  <si>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</si>
  <si>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</si>
  <si>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</si>
  <si>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</si>
  <si>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</si>
  <si>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</si>
  <si>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</si>
  <si>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</si>
  <si>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</si>
  <si>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</si>
  <si>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</si>
  <si>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</si>
  <si>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</si>
  <si>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</si>
  <si>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</si>
  <si>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</si>
  <si>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</si>
  <si>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</si>
  <si>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</si>
  <si>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</si>
  <si>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</si>
  <si>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</si>
  <si>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</si>
  <si>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</si>
  <si>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</si>
  <si>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</si>
  <si>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</si>
  <si>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</si>
  <si>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</si>
  <si>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</si>
  <si>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</si>
  <si>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</si>
  <si>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</si>
  <si>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</si>
  <si>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</si>
  <si>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</si>
  <si>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</si>
  <si>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</si>
  <si>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</si>
  <si>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</si>
  <si>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</si>
  <si>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</si>
  <si>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</si>
  <si>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</si>
  <si>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</si>
  <si>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</si>
  <si>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</si>
  <si>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</si>
  <si>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</si>
  <si>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</si>
  <si>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</si>
  <si>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</si>
  <si>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</si>
  <si>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</si>
  <si>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</si>
  <si>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</si>
  <si>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</si>
  <si>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</si>
  <si>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</si>
  <si>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</si>
  <si>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</si>
  <si>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</si>
  <si>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</si>
  <si>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</si>
  <si>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</si>
  <si>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</si>
  <si>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</si>
  <si>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</si>
  <si>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</si>
  <si>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Óvónő</t>
  </si>
  <si>
    <t>Kisegítő személyzet</t>
  </si>
  <si>
    <t>3 fő kisegítő személyzet 2013. szept.1-től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</si>
  <si>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</si>
  <si>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</si>
  <si>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</si>
  <si>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</si>
  <si>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</si>
  <si>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</si>
  <si>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</si>
  <si>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</si>
  <si>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</si>
  <si>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</si>
  <si>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</si>
  <si>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</si>
  <si>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</si>
  <si>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</si>
  <si>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</si>
  <si>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</si>
  <si>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</si>
  <si>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</si>
  <si>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</si>
  <si>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</si>
  <si>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</si>
  <si>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</si>
  <si>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</si>
  <si>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</si>
  <si>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</si>
  <si>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</si>
  <si>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</si>
  <si>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</si>
  <si>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</si>
  <si>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Eszközbeszerzés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</si>
  <si>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</si>
  <si>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</si>
  <si>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</si>
  <si>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</si>
  <si>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</si>
  <si>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</si>
  <si>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</si>
  <si>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</si>
  <si>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</si>
  <si>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</si>
  <si>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</si>
  <si>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Nyári gyermekétkeztetés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</si>
  <si>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</si>
  <si>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</si>
  <si>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</si>
  <si>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</si>
  <si>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</si>
  <si>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</si>
  <si>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</si>
  <si>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</si>
  <si>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</si>
  <si>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</si>
  <si>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</si>
  <si>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</si>
  <si>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</si>
  <si>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</si>
  <si>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</si>
  <si>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</si>
  <si>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</si>
  <si>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</si>
  <si>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</si>
  <si>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</si>
  <si>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</si>
  <si>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</si>
  <si>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</si>
  <si>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</si>
  <si>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</si>
  <si>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</si>
  <si>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</si>
  <si>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</si>
  <si>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</si>
  <si>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</si>
  <si>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</si>
  <si>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</si>
  <si>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</si>
  <si>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</si>
  <si>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</si>
  <si>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</si>
  <si>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</si>
  <si>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</si>
  <si>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</si>
  <si>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</si>
  <si>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</si>
  <si>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</si>
  <si>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</si>
  <si>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</si>
  <si>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</si>
  <si>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</si>
  <si>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</si>
  <si>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</si>
  <si>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</si>
  <si>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</si>
  <si>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</si>
  <si>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</si>
  <si>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</si>
  <si>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</si>
  <si>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</si>
  <si>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</si>
  <si>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</si>
  <si>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</si>
  <si>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</si>
  <si>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</si>
  <si>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</si>
  <si>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</si>
  <si>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</si>
  <si>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</si>
  <si>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</si>
  <si>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</si>
  <si>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</si>
  <si>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</si>
  <si>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</si>
  <si>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</si>
  <si>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</si>
  <si>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</si>
  <si>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</si>
  <si>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</si>
  <si>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</si>
  <si>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</si>
  <si>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</si>
  <si>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</si>
  <si>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</si>
  <si>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</si>
  <si>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</si>
  <si>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</si>
  <si>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</si>
  <si>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</si>
  <si>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</si>
  <si>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</si>
  <si>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</si>
  <si>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</si>
  <si>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</si>
  <si>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</si>
  <si>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</si>
  <si>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</si>
  <si>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</si>
  <si>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</si>
  <si>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</si>
  <si>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</si>
  <si>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</si>
  <si>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</si>
  <si>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</si>
  <si>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</si>
  <si>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</si>
  <si>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</si>
  <si>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</si>
  <si>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</si>
  <si>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</si>
  <si>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</si>
  <si>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</si>
  <si>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</si>
  <si>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</si>
  <si>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Konyha</t>
  </si>
  <si>
    <t>Köztemető</t>
  </si>
  <si>
    <t>Köztisztasági tevékenység</t>
  </si>
  <si>
    <t>Takarítónő, mosónő</t>
  </si>
  <si>
    <t>GAMESZ összesen:</t>
  </si>
  <si>
    <t xml:space="preserve">Teréz Anya Szociális Integrált Intézmény**  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</si>
  <si>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</si>
  <si>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</si>
  <si>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</si>
  <si>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</si>
  <si>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</si>
  <si>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</si>
  <si>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</si>
  <si>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</si>
  <si>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</si>
  <si>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</si>
  <si>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</si>
  <si>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</si>
  <si>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</si>
  <si>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</si>
  <si>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</si>
  <si>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</si>
  <si>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</si>
  <si>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</si>
  <si>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</si>
  <si>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</si>
  <si>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</si>
  <si>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</si>
  <si>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</si>
  <si>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</si>
  <si>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</si>
  <si>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</si>
  <si>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</si>
  <si>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</si>
  <si>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</si>
  <si>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</si>
  <si>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</si>
  <si>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</si>
  <si>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</si>
  <si>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</si>
  <si>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</si>
  <si>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</si>
  <si>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</si>
  <si>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</si>
  <si>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</si>
  <si>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</si>
  <si>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</si>
  <si>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</si>
  <si>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</si>
  <si>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</si>
  <si>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</si>
  <si>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</si>
  <si>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</si>
  <si>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</si>
  <si>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</si>
  <si>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</si>
  <si>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</si>
  <si>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</si>
  <si>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</si>
  <si>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</si>
  <si>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</si>
  <si>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</si>
  <si>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</si>
  <si>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PMK/22-3/2012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</si>
  <si>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</si>
  <si>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</si>
  <si>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</si>
  <si>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</si>
  <si>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</si>
  <si>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</si>
  <si>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</si>
  <si>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</si>
  <si>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</si>
  <si>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</si>
  <si>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</si>
  <si>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</si>
  <si>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</si>
  <si>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</si>
  <si>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</si>
  <si>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Webmark Europe Kft - honlapok(3db) üzemeltetése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</si>
  <si>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</si>
  <si>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</si>
  <si>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</si>
  <si>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</si>
  <si>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</si>
  <si>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</si>
  <si>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</si>
  <si>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</si>
  <si>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</si>
  <si>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</si>
  <si>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</si>
  <si>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</si>
  <si>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</si>
  <si>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NetStandard Informatikai Kft - szerver üzemeltetés (hevizairport.hu)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</si>
  <si>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</si>
  <si>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</si>
  <si>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</si>
  <si>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</si>
  <si>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</si>
  <si>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</si>
  <si>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</si>
  <si>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</si>
  <si>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</si>
  <si>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</si>
  <si>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</si>
  <si>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</si>
  <si>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</si>
  <si>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</si>
  <si>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</si>
  <si>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</si>
  <si>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</si>
  <si>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</si>
  <si>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</si>
  <si>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</si>
  <si>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</si>
  <si>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</si>
  <si>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</si>
  <si>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</si>
  <si>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</si>
  <si>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</si>
  <si>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</si>
  <si>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</si>
  <si>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</si>
  <si>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</si>
  <si>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</si>
  <si>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</si>
  <si>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</si>
  <si>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</si>
  <si>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</si>
  <si>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</si>
  <si>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</si>
  <si>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</si>
  <si>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</si>
  <si>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</si>
  <si>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</si>
  <si>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</si>
  <si>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</si>
  <si>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</si>
  <si>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</si>
  <si>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</si>
  <si>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</si>
  <si>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</si>
  <si>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</si>
  <si>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</si>
  <si>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</si>
  <si>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</si>
  <si>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</si>
  <si>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</si>
  <si>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</si>
  <si>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</si>
  <si>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</si>
  <si>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</si>
  <si>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</si>
  <si>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</si>
  <si>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</si>
  <si>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</si>
  <si>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</si>
  <si>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</si>
  <si>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</si>
  <si>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</si>
  <si>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</si>
  <si>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</si>
  <si>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</si>
  <si>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</si>
  <si>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</si>
  <si>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</si>
  <si>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</si>
  <si>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</si>
  <si>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</si>
  <si>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</si>
  <si>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</si>
  <si>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</si>
  <si>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</si>
  <si>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</si>
  <si>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</si>
  <si>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</si>
  <si>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</si>
  <si>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</si>
  <si>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</si>
  <si>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</si>
  <si>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</si>
  <si>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</si>
  <si>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</si>
  <si>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</si>
  <si>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</si>
  <si>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</si>
  <si>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</si>
  <si>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</si>
  <si>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</si>
  <si>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</si>
  <si>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</si>
  <si>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</si>
  <si>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</si>
  <si>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</si>
  <si>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</si>
  <si>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</si>
  <si>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</si>
  <si>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</si>
  <si>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</si>
  <si>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</si>
  <si>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</si>
  <si>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</si>
  <si>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</si>
  <si>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</si>
  <si>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</si>
  <si>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</si>
  <si>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</si>
  <si>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</si>
  <si>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</si>
  <si>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</si>
  <si>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</si>
  <si>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</si>
  <si>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</si>
  <si>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</si>
  <si>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</si>
  <si>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</si>
  <si>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</si>
  <si>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</si>
  <si>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</si>
  <si>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</si>
  <si>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</si>
  <si>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</si>
  <si>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</si>
  <si>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</si>
  <si>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</si>
  <si>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</si>
  <si>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</si>
  <si>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</si>
  <si>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</si>
  <si>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</si>
  <si>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</si>
  <si>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</si>
  <si>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</si>
  <si>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</si>
  <si>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</si>
  <si>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</si>
  <si>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</si>
  <si>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</si>
  <si>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</si>
  <si>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</si>
  <si>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</si>
  <si>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</si>
  <si>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</si>
  <si>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</si>
  <si>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</si>
  <si>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</si>
  <si>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</si>
  <si>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</si>
  <si>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</si>
  <si>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</si>
  <si>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</si>
  <si>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</si>
  <si>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</si>
  <si>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</si>
  <si>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</si>
  <si>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</si>
  <si>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</si>
  <si>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</si>
  <si>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</si>
  <si>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</si>
  <si>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</si>
  <si>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</si>
  <si>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</si>
  <si>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</si>
  <si>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</si>
  <si>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</si>
  <si>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</si>
  <si>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</si>
  <si>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</si>
  <si>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</si>
  <si>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</si>
  <si>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</si>
  <si>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</si>
  <si>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</si>
  <si>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</si>
  <si>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</si>
  <si>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</si>
  <si>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beruházás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</si>
  <si>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</si>
  <si>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</si>
  <si>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</si>
  <si>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</si>
  <si>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</si>
  <si>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</si>
  <si>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>TC Informatika Kft - közterületfigyelő rendszer üzemeltetése</t>
  </si>
  <si>
    <t>SZO/181-28/2016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</si>
  <si>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</si>
  <si>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</si>
  <si>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</si>
  <si>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</si>
  <si>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</si>
  <si>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</si>
  <si>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</si>
  <si>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</si>
  <si>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</si>
  <si>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</si>
  <si>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</si>
  <si>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</si>
  <si>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</si>
  <si>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Hévíz és Térsége KamaraiTagok Kultúrális Alapítványa</t>
  </si>
  <si>
    <t>Keszthelyi Mentők Alapítvány</t>
  </si>
  <si>
    <t xml:space="preserve">Hévíz Sportkör visszatérítendő támogatás </t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</si>
  <si>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</si>
  <si>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</si>
  <si>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</si>
  <si>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</si>
  <si>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</si>
  <si>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</si>
  <si>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Festetics sétány kialakítására vonatkozó tervek</t>
  </si>
  <si>
    <t>Fenntartható közlekedés TOP-3.1.1-15-ZA1-2016-00007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</si>
  <si>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</si>
  <si>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</si>
  <si>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</si>
  <si>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>502219 Termelői piac fejlesztés TOP-1.1.3-15</t>
  </si>
  <si>
    <t xml:space="preserve"> 502301 ASP rendszer bevezetése </t>
  </si>
  <si>
    <t xml:space="preserve"> 503201 Működési célú pénzeszköz átadás</t>
  </si>
  <si>
    <t xml:space="preserve"> 503304 Gyógyszertámogatás</t>
  </si>
  <si>
    <t xml:space="preserve"> 503306 Lakhatási támogatás</t>
  </si>
  <si>
    <t xml:space="preserve"> 503401 Munkáltatói kölcsön kiadásai </t>
  </si>
  <si>
    <t xml:space="preserve"> 503402 Lakossági kölcsön kiadásai</t>
  </si>
  <si>
    <t xml:space="preserve"> 504201 Továbbszámlázások</t>
  </si>
  <si>
    <t xml:space="preserve"> 505101 Önkormány.jogalk.</t>
  </si>
  <si>
    <t>505102 Nemzetközi kapcsolatok</t>
  </si>
  <si>
    <t>505102 Nagyköveti program</t>
  </si>
  <si>
    <t xml:space="preserve"> 505103 Reprezentáció</t>
  </si>
  <si>
    <t xml:space="preserve"> 505201 Hévíz folyóirat</t>
  </si>
  <si>
    <t>505202 Forrás újság</t>
  </si>
  <si>
    <t xml:space="preserve"> 505301 Főépítészi feladatok ellátása</t>
  </si>
  <si>
    <t xml:space="preserve"> 505302 Gyepmesteri és állatorvosi feladatok</t>
  </si>
  <si>
    <t>505401 Parkolási tevékenység</t>
  </si>
  <si>
    <t xml:space="preserve"> 505402  HeBi üzemeltetés</t>
  </si>
  <si>
    <t xml:space="preserve"> 505501 Közvilágítás</t>
  </si>
  <si>
    <t xml:space="preserve"> 505502 Város- és községgazdálkodás</t>
  </si>
  <si>
    <t xml:space="preserve">505601 Nyári napközi </t>
  </si>
  <si>
    <t>503301 Szociális célú tüzifa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</si>
  <si>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</si>
  <si>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</si>
  <si>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</si>
  <si>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</si>
  <si>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502206 Buszpályaudvar áttelepítése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</si>
  <si>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</si>
  <si>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</si>
  <si>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</si>
  <si>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</si>
  <si>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</si>
  <si>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</si>
  <si>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</si>
  <si>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Informatikai eszközök beszerzése </t>
  </si>
  <si>
    <t>502207 "Gyógyhelyi főtér" GINOP-7.1.9-17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</si>
  <si>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</si>
  <si>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</si>
  <si>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</si>
  <si>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</si>
  <si>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</si>
  <si>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</si>
  <si>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</si>
  <si>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</si>
  <si>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</si>
  <si>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</si>
  <si>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</si>
  <si>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</si>
  <si>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</si>
  <si>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</si>
  <si>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</si>
  <si>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</si>
  <si>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</si>
  <si>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</si>
  <si>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</si>
  <si>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</si>
  <si>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</si>
  <si>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</si>
  <si>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</si>
  <si>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</si>
  <si>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</si>
  <si>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</si>
  <si>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</si>
  <si>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</si>
  <si>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 xml:space="preserve">2018. évi előirányzat </t>
  </si>
  <si>
    <t>2018. évi költségvetési rendelet</t>
  </si>
  <si>
    <t>Közép-keleti város rész csapadékelvezetés tervezése és kivitelezése (Babocsay és Dombföldi utca)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</si>
  <si>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</si>
  <si>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</si>
  <si>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</si>
  <si>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</si>
  <si>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>Számítástechnika váratlan meghibásodása miatti beszerzés</t>
  </si>
  <si>
    <t>Felosztható keret</t>
  </si>
  <si>
    <t>Nagyparkoló zöldterületének és közlekedési ter. megújítása (Zöldváros) TOP-2.1.2-15-ZA1-2016-00004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</si>
  <si>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</si>
  <si>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</si>
  <si>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</si>
  <si>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</si>
  <si>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</si>
  <si>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</si>
  <si>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</si>
  <si>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</si>
  <si>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</si>
  <si>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</si>
  <si>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</si>
  <si>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</si>
  <si>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 xml:space="preserve">              Bölcsődei dajkák, középfokú végzettségű kisgyermeknevelők, szaktanácsadók bértámogatása</t>
  </si>
  <si>
    <t>505701 Vagyongazdálkodás kiadásai</t>
  </si>
  <si>
    <t>Buszpályaudvar enged.és kiviteli terv (+ láp terület hatástanulmány 6.000 e Ft)</t>
  </si>
  <si>
    <t>Gyógyhelyi főtér kialakítás (kiviteli tervezés)</t>
  </si>
  <si>
    <t>505502 Város és közs.gazd. (Sportszálló alatti Eon vezeték kiváltása)</t>
  </si>
  <si>
    <t>Magyar Máltai Szeretetszolgálat: Támogató szolgálat</t>
  </si>
  <si>
    <t xml:space="preserve">2018. évi előirányzat összesen 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</si>
  <si>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</si>
  <si>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</si>
  <si>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</si>
  <si>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</si>
  <si>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 xml:space="preserve">Karsád György János EV </t>
  </si>
  <si>
    <t>Cserna-Szabó András - Hévíz Folyóirat főszerkesztői  feladatok ellátása</t>
  </si>
  <si>
    <t>Fehér Renátó - Héviz Folyóirat szerkesztői feladatok ellátásaSzálinger Balázs - Hévíz Folyóirat főszerkesztői feladatok ellátása</t>
  </si>
  <si>
    <t>PMK/13-2/2017</t>
  </si>
  <si>
    <t>2017.02.25+3év</t>
  </si>
  <si>
    <t>PMK/14-2/2017</t>
  </si>
  <si>
    <t>PMK/14-1/2017</t>
  </si>
  <si>
    <t>SZO/492-1/2017</t>
  </si>
  <si>
    <t>Lukács Péter Dániel - városi rendezvényekről sajtó fotó készités</t>
  </si>
  <si>
    <t>…./2017. 07.12.</t>
  </si>
  <si>
    <t>ZNET Telekom Zrt - internet szolg. (Rózsakert)</t>
  </si>
  <si>
    <t>KGO/217-14/2017</t>
  </si>
  <si>
    <t>CIB Bank Zrt - Önk.Infr.Fejl.Program 2020 - hitel</t>
  </si>
  <si>
    <t>SZO/4-13/2017</t>
  </si>
  <si>
    <t>Dr. Farkas Ügyvédi Iroda</t>
  </si>
  <si>
    <t>KGO/208-1/2017</t>
  </si>
  <si>
    <t>EMoGÁ Kft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</si>
  <si>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</si>
  <si>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Nemzeti Választási Iroda</t>
  </si>
  <si>
    <t>64.</t>
  </si>
  <si>
    <t>65.</t>
  </si>
  <si>
    <t>Szociális és Gyermekvédelmi Főigazgatóság</t>
  </si>
  <si>
    <t>Festetics sétány (Világörökségi helyszínek fejlesztése projekt) GINOP-7.1.6-16-2017-00004</t>
  </si>
  <si>
    <t>Festetics sétány eszközbeszerzés (Világörökségi helyszínek fejlesztése projekt) GINOP-7.1.6-16-2017-00004</t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</si>
  <si>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(150.000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</si>
  <si>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(53.000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</si>
  <si>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(19.000 ezer Ft-hoz Kormányzati döntés alapján!)</t>
    </r>
  </si>
  <si>
    <t>Széchenyi utcával kapcsolatos munkák tartaléka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</si>
  <si>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"Zala két keréken" TOP 3.1.1-15-ZA1-2016-00005 projekt foly. Előleg</t>
    </r>
  </si>
  <si>
    <t>"Zala két keréken" TOP 3.1.1-15-ZA1-2016-00005 projekt foly. Előleg</t>
  </si>
  <si>
    <t>"Aktív bevonással megvalósuló Zöldváros tervezése" projekt pályázati önerő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</si>
  <si>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</si>
  <si>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</si>
  <si>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</si>
  <si>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</si>
  <si>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</si>
  <si>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</si>
  <si>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</si>
  <si>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502218 Zrinyi u. külterületen közmű és zöldfelület felúj.</t>
  </si>
  <si>
    <t>503107 Jelzőrendszeres házi segítségnyújtás</t>
  </si>
  <si>
    <t xml:space="preserve">502221 Festetics sétány 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</si>
  <si>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</si>
  <si>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</si>
  <si>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</si>
  <si>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Teréz Anya Szociális Integrált Intézmény</t>
  </si>
  <si>
    <t>Felhalmozási bevételek:</t>
  </si>
  <si>
    <t>Felhalmozási célú állami támogatások</t>
  </si>
  <si>
    <t>Felhalmozási célú állami támogatások összesen:</t>
  </si>
  <si>
    <t>Felhalmozási bevételek összesen.:</t>
  </si>
  <si>
    <t>Teréz Anya Szociális Integrált Intézmény összesen: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</si>
  <si>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</si>
  <si>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</si>
  <si>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</si>
  <si>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</si>
  <si>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</si>
  <si>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</si>
  <si>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</si>
  <si>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</si>
  <si>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</si>
  <si>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   2.5. Egyéb felhalmozási célú támogatás Áht-n belülről (B25)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</si>
  <si>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</si>
  <si>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</si>
  <si>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</si>
  <si>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</si>
  <si>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</si>
  <si>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</si>
  <si>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>Hévíz Toutist Nkft. részedés értékesítés</t>
  </si>
  <si>
    <t>"YOUTH &amp; SPA projekt támogatás átadása Iseo Város Önk.részére</t>
  </si>
  <si>
    <t>"YOUTH &amp; SPA projekt támogatás átadása Hargita Megye Tanácsa részére</t>
  </si>
  <si>
    <t>"YOUTH &amp; SPA projekt támogatás átadása Magyarkanizsa önkormányzata (Szerbia) részére</t>
  </si>
  <si>
    <t>"YOUTH &amp; SPA projekt támogatás átadása Népi Egyetem, Felnőttek és Fiatalok Továbbképző Intézete Lendva részére</t>
  </si>
  <si>
    <t xml:space="preserve">Szent András Gyógyfürdő és reuma Korház kezelésében lévő Dr.Schulhof sétány fejlesztése GINOP-7.1.9-17. pályázat </t>
  </si>
  <si>
    <t>502223 Zrínyi u. belter. rekonstrukció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</si>
  <si>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</si>
  <si>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</si>
  <si>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</si>
  <si>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</si>
  <si>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</si>
  <si>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</si>
  <si>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</si>
  <si>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 xml:space="preserve">2019. évi Pénzügyi mérleg </t>
  </si>
  <si>
    <t xml:space="preserve">2019. évi előirányzat </t>
  </si>
  <si>
    <t>2019. évi  engedélyezett létszámkeret</t>
  </si>
  <si>
    <t xml:space="preserve">Tárgyi eszköz beszerzés </t>
  </si>
  <si>
    <t>Tárgyi eszközök (fénymásoló és játszótéri eszközök)</t>
  </si>
  <si>
    <t>2019. évi pénzügyi mérleg</t>
  </si>
  <si>
    <t>505502 Város és közs.gazd. (csapadékvíz mentesítés, karbantartás)</t>
  </si>
  <si>
    <t>Visszatérítendő felhalmozási kölcsön nyújtása</t>
  </si>
  <si>
    <t xml:space="preserve">2019. évi bevételi előirányzat </t>
  </si>
  <si>
    <t>2019. évi költségvetés felhalmozási bevételek</t>
  </si>
  <si>
    <t>2019. évi egyéb működési célú támogatások ÁHT-én beülre és  és működési támogatások ÁHT-n kívülre</t>
  </si>
  <si>
    <t xml:space="preserve">2019.  évi működési célú és egyéb kiadások feladatonként </t>
  </si>
  <si>
    <t xml:space="preserve">2019. évi felhalmozási pénzügyi mérleg </t>
  </si>
  <si>
    <t xml:space="preserve">2019. évi pénzügyi mérleg </t>
  </si>
  <si>
    <t xml:space="preserve">2019. évi működési pénzügyi mérleg </t>
  </si>
  <si>
    <t>2019. évi közhatalmi bevételek</t>
  </si>
  <si>
    <t xml:space="preserve">2019. évi bevételi terv  </t>
  </si>
  <si>
    <t>Mérték  (2019. évi január 1. napjától)</t>
  </si>
  <si>
    <t>515,- Ft/fő/éjszaka</t>
  </si>
  <si>
    <t>2019. évi költségvetés</t>
  </si>
  <si>
    <t>2019. évi felhalmozási kiadásai</t>
  </si>
  <si>
    <t>2019. évi költségvetési rendelet</t>
  </si>
  <si>
    <t xml:space="preserve">2019. évi pénzügyi mérlege </t>
  </si>
  <si>
    <t xml:space="preserve">2019.  évi előirányzat </t>
  </si>
  <si>
    <t>Kézilabda munkacsarnok infrastruktúra kialakítása</t>
  </si>
  <si>
    <t>Egyéb szálláshelyek 2019. évi minőségfejlesztési támogatása (2018. évben pénzügyileg teljesítve)</t>
  </si>
  <si>
    <t xml:space="preserve">                                                                        2019. évi bérkompenzáció</t>
  </si>
  <si>
    <t xml:space="preserve">Költségvetési  szerveknél foglalkoztatottak 2018. dec. bérkompenzációja </t>
  </si>
  <si>
    <r>
      <t>Hévíz, Széchenyi utcai zártárok elvezetés</t>
    </r>
    <r>
      <rPr>
        <b/>
        <sz val="10"/>
        <color rgb="FF0070C0"/>
        <rFont val="Times New Roman"/>
        <family val="1"/>
        <charset val="238"/>
      </rPr>
      <t xml:space="preserve"> (Kormányzati döntés alapján!) </t>
    </r>
  </si>
  <si>
    <t>505804 YOUTH &amp; SPA projekt</t>
  </si>
  <si>
    <r>
      <rPr>
        <b/>
        <sz val="9"/>
        <rFont val="Times New Roman"/>
        <family val="1"/>
        <charset val="238"/>
      </rPr>
      <t>2019.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</si>
  <si>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KEKKH 2018. 01.01-re vomnatkozó adata: 4747 fő</t>
  </si>
  <si>
    <t>I.1.b) településüzemeltetéshez kapcsolódó feladatellátás támogatása</t>
  </si>
  <si>
    <r>
      <t>19,638  m</t>
    </r>
    <r>
      <rPr>
        <vertAlign val="superscript"/>
        <sz val="8"/>
        <color rgb="FFFF0000"/>
        <rFont val="Times New Roman"/>
        <family val="1"/>
        <charset val="238"/>
      </rPr>
      <t>2</t>
    </r>
  </si>
  <si>
    <t xml:space="preserve">I.1.e) üdülőhelyi feladatok támogatása  </t>
  </si>
  <si>
    <t>I. 5. Költségvetési szerveknél fogélalkoztatottak 2018. évi áthúzódó és 2019. évi kompenzációja</t>
  </si>
  <si>
    <t xml:space="preserve"> Évközi MÁK által megállapított összegű folyósítás</t>
  </si>
  <si>
    <t>I. pont szerinti támogatás beszámítás nélkül:</t>
  </si>
  <si>
    <t>Beszámítás: 2017. évi IPA alap szerint</t>
  </si>
  <si>
    <t xml:space="preserve"> II.2. (2) 1 óvodaműködtetési támogatás 4 hó (gyermekek nevelése a napi 8 órát eléri vagy meghaladja)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</si>
  <si>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2018. jan. 1-i átsorolással szerezték meg</t>
  </si>
  <si>
    <t xml:space="preserve">    II.4.a (2).  Alapfokozatú végzettségű óvodapedagógus, pedagógus szakképzettséggel rendelkező segítők - pedagógus II. kategóriába sorolt ov.ped., pedagógus szakképzettséggel rendelkező segítők kiegészítő támogatása, akik a minősítést  2019. január 1-i átsorolással szerezték</t>
  </si>
  <si>
    <t>II. 5. Nemzetiségi pótlék</t>
  </si>
  <si>
    <t>III.1. Szociális ágazati összevont pótlék és egészségügyi kiegészítő pótlék</t>
  </si>
  <si>
    <t>III. 2. Települési önkormányzatok szociális feladatok egyéb támogatása 35.000 Ft/fő alatti adóerőképesség esetén differenciáltan jár</t>
  </si>
  <si>
    <t xml:space="preserve">   III. 3. aac) Számított alaplétszám korrekciója (4 -nél kevesebb településből álló közös hivatal esetében és  minden más önkormányzat:1)</t>
  </si>
  <si>
    <t xml:space="preserve"> III. 3. c). Szociális étkeztetés</t>
  </si>
  <si>
    <t xml:space="preserve"> III. 3. d) Házi segítségnyújtás  </t>
  </si>
  <si>
    <t xml:space="preserve"> III. 3. f) Időskorúak nappali intézményi  ellátása</t>
  </si>
  <si>
    <t xml:space="preserve"> III. 3. o) Kiegészítő fajlagos összegek</t>
  </si>
  <si>
    <t xml:space="preserve">       III. 3. oa) Kiegészítő fajlagos összegek a Család- és gyermekjóléti szolgálat fa ellátáshoz</t>
  </si>
  <si>
    <t xml:space="preserve">       III. 3.ob) Kiegészítő fajlagos összegek a házisegítségnyújtás -személyi gondozás fa ellátáshoz</t>
  </si>
  <si>
    <t>III. 4. Települési önk. által nyújtott egyes szociális szakosított ellátások, valamint a                 gyermekek átmeneti gondozásával kapcsolatos feladatok támogatása</t>
  </si>
  <si>
    <t xml:space="preserve">   III. 4. b)  Intézmény üzemeltetési támogatás </t>
  </si>
  <si>
    <t xml:space="preserve">   III. 4. c)  kiegészítő fajlagos támogatás az a) alpont támogatásához támogatás </t>
  </si>
  <si>
    <t xml:space="preserve"> III. 5. Gyermekétkeztetés támogatása</t>
  </si>
  <si>
    <t xml:space="preserve">      III. 5. a) Intézményí gyermekétkeztetés támogatása</t>
  </si>
  <si>
    <t xml:space="preserve">        III. 5. aa) Étkeztetési feladatot ellátók után járó bértámogatás</t>
  </si>
  <si>
    <t xml:space="preserve">        III. 5. ab) Gyermekétkeztetés üzemeltetési támogatása  </t>
  </si>
  <si>
    <t xml:space="preserve">      III. 5. b). Rászoruló gyermekek intézményen kívüli szünidei étkeztetésének támogatása összege (Ft/étkezési adag, adóerőképeswség szerint differenciálva)</t>
  </si>
  <si>
    <t xml:space="preserve">  III. 6. Bölcsőde, mini bölcsőde támogatása</t>
  </si>
  <si>
    <t xml:space="preserve">      III.6.a) Finanszírozás szempontjából elismert szakmai dolgozók bértámogatása</t>
  </si>
  <si>
    <t xml:space="preserve">      III.6.b) Bölcsődei üzemeltetési támogatás (Miniszterek döntése alapján a települések típusát és adóerőképességét figy-be véve)</t>
  </si>
  <si>
    <t>I-V. mindösszesen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</si>
  <si>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1820/2017(XI.8.) korm. határozat</t>
    </r>
  </si>
  <si>
    <t>2019. évi terv</t>
  </si>
  <si>
    <t>HEBI állomás áthelyezése a helyi járati autóbusz pu-hoz</t>
  </si>
  <si>
    <t>Jogi viták miatti tartalék</t>
  </si>
  <si>
    <t xml:space="preserve">  Keszthely adó- átadás</t>
  </si>
  <si>
    <t xml:space="preserve">  Alsópáhok adó-átadás</t>
  </si>
  <si>
    <t xml:space="preserve">Felhalmozási hiány finanszírozása működési többlet terhére </t>
  </si>
  <si>
    <t>Turisztikailag frekventált térségek integrált termék és szolgáltatás fejlesztése - Gyógyhely GINOP-7.1.9-16-2017-00004</t>
  </si>
  <si>
    <t xml:space="preserve">Helyi önkormányzatok általános működésének és ágazati feladatainak  2019. évi  támogatása </t>
  </si>
  <si>
    <t xml:space="preserve">      I.1.f. beszámítás</t>
  </si>
  <si>
    <t xml:space="preserve">    I.1.ba) -  I.1.f. zöldterület gazdálkodással kapcsolatos feladatok ellátásának támogatása  beszámítás után</t>
  </si>
  <si>
    <t xml:space="preserve">     I.1.bb) -  I.1.f. közvilágítás fenntartásának támogatása beszámítás után </t>
  </si>
  <si>
    <t xml:space="preserve">      I.1.bc) - I.1.f. köztemető fenntartással kapcsolatos feladatok támogatása beszámítás után </t>
  </si>
  <si>
    <t xml:space="preserve">       I.1.bd) - I.1.f. közutak fenntartásának támogatása beszámítás után </t>
  </si>
  <si>
    <t xml:space="preserve">    I.1.f. beszámítás</t>
  </si>
  <si>
    <t xml:space="preserve">     I.1.c) - I.1.f. egyéb önkormányzati feladatok támogatása beszámítás után</t>
  </si>
  <si>
    <t xml:space="preserve">     I.1.f. beszámítás </t>
  </si>
  <si>
    <t xml:space="preserve">     I.1.d) - I.1.f. lakott külterülettel kapcsolatos feladatok támogatása beszámítás után</t>
  </si>
  <si>
    <t xml:space="preserve">    I.1.e) - I.1.f. üdülőhelyi feladatok támogatás beszámítás után</t>
  </si>
  <si>
    <t xml:space="preserve">Beszámítás korrigált összege: </t>
  </si>
  <si>
    <t>124+2*2+2*3=134 fő</t>
  </si>
  <si>
    <t>128+2*2+0*3=132 fő</t>
  </si>
  <si>
    <r>
      <t xml:space="preserve">   </t>
    </r>
    <r>
      <rPr>
        <sz val="9"/>
        <rFont val="Times New Roman"/>
        <family val="1"/>
        <charset val="238"/>
      </rPr>
      <t xml:space="preserve">III. 3. aaa) Számított alaplétszám </t>
    </r>
  </si>
  <si>
    <t xml:space="preserve">   III. 4. a) Finanszírozás szempontjából elismert szakmai dolgozók bértámogatása                                              [45+(12 demens*1,2) ]/4=14,85 ~ 15,00</t>
  </si>
  <si>
    <t>567 fő</t>
  </si>
  <si>
    <t>még nem ismert</t>
  </si>
  <si>
    <r>
      <rPr>
        <sz val="9"/>
        <rFont val="Times New Roman"/>
        <family val="1"/>
        <charset val="238"/>
      </rPr>
      <t xml:space="preserve">V. Szolidaritási hozzájárulás: (126.242.802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732.182.630)</t>
    </r>
    <r>
      <rPr>
        <b/>
        <sz val="9"/>
        <rFont val="Times New Roman"/>
        <family val="1"/>
        <charset val="238"/>
      </rPr>
      <t xml:space="preserve"> *</t>
    </r>
    <r>
      <rPr>
        <sz val="9"/>
        <rFont val="Times New Roman"/>
        <family val="1"/>
        <charset val="238"/>
      </rPr>
      <t xml:space="preserve"> [75 + (66062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55001)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(115000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55001) </t>
    </r>
    <r>
      <rPr>
        <b/>
        <sz val="9"/>
        <rFont val="Times New Roman"/>
        <family val="1"/>
        <charset val="238"/>
      </rPr>
      <t xml:space="preserve">* </t>
    </r>
    <r>
      <rPr>
        <sz val="9"/>
        <rFont val="Times New Roman"/>
        <family val="1"/>
        <charset val="238"/>
      </rPr>
      <t xml:space="preserve">(100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75)]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-</t>
    </r>
    <r>
      <rPr>
        <sz val="9"/>
        <rFont val="Times New Roman"/>
        <family val="1"/>
        <charset val="238"/>
      </rPr>
      <t xml:space="preserve"> 0 </t>
    </r>
    <r>
      <rPr>
        <b/>
        <sz val="9"/>
        <rFont val="Times New Roman"/>
        <family val="1"/>
        <charset val="238"/>
      </rPr>
      <t>= 0</t>
    </r>
  </si>
  <si>
    <t xml:space="preserve"> Járdaseprő gép </t>
  </si>
  <si>
    <t>"Európa a polgárokért " projekt társpályázóinak támogatás átadás (Belgrád, Foster, Hargita,  Lendva)</t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</si>
  <si>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(Kormányzati döntés alapján! 2019. évben 228.823 e Ft)</t>
    </r>
  </si>
  <si>
    <r>
      <t xml:space="preserve">Széchenyi utca zárt árok  csapadékvíz elvezetés kialakítása </t>
    </r>
    <r>
      <rPr>
        <b/>
        <sz val="8"/>
        <color rgb="FF0070C0"/>
        <rFont val="Times New Roman"/>
        <family val="1"/>
        <charset val="238"/>
      </rPr>
      <t>(Kormányzati döntés alapján! 2019. évben 66.039 e Ft)</t>
    </r>
  </si>
  <si>
    <r>
      <t>502201 Széchenyi utca fejlesztése</t>
    </r>
    <r>
      <rPr>
        <b/>
        <sz val="7"/>
        <color rgb="FF0070C0"/>
        <rFont val="Times New Roman"/>
        <family val="1"/>
        <charset val="238"/>
      </rPr>
      <t xml:space="preserve"> (Kormányzati döntés alapján! 2019. évben 73.244 e Ft)</t>
    </r>
  </si>
  <si>
    <r>
      <t>502227 Széchenyi utca zárt árok csapadék.elvez.</t>
    </r>
    <r>
      <rPr>
        <sz val="7"/>
        <color rgb="FF00B0F0"/>
        <rFont val="Times New Roman"/>
        <family val="1"/>
        <charset val="238"/>
      </rPr>
      <t xml:space="preserve"> </t>
    </r>
    <r>
      <rPr>
        <b/>
        <sz val="7"/>
        <color rgb="FF0070C0"/>
        <rFont val="Times New Roman"/>
        <family val="1"/>
        <charset val="238"/>
      </rPr>
      <t>(Kormányzati döntés! 2019-ben 16.699 e Ft)</t>
    </r>
  </si>
  <si>
    <t>HÉSZ módosítás</t>
  </si>
  <si>
    <t>1/1.</t>
  </si>
  <si>
    <t>1/2.</t>
  </si>
  <si>
    <t>6/1.</t>
  </si>
  <si>
    <t>6/2.</t>
  </si>
  <si>
    <t>505801"Európa a polgárokért"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</si>
  <si>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</si>
  <si>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</si>
  <si>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r>
      <t>I.1.f) beszámítás, kiegészítés:  Beszámítás szerinti támogatás csökkentés összesen: = (22.399.747.651*0,55/100)*[105+(66.062-42.001)/(110.000-42.001)*(120-105)]/100=</t>
    </r>
    <r>
      <rPr>
        <b/>
        <sz val="9"/>
        <rFont val="Times New Roman"/>
        <family val="1"/>
        <charset val="238"/>
      </rPr>
      <t>135.897.496 Ft</t>
    </r>
  </si>
  <si>
    <r>
      <t xml:space="preserve">g) teljesítési adatokhoz kapcsolódó korrekciós támogatás (őnkorányzatokért felelős miniszter és az államháztartásért felelős miniszter döntése alapján a beszámítás összegét csökkentő támogatás) </t>
    </r>
    <r>
      <rPr>
        <b/>
        <sz val="9"/>
        <rFont val="Times New Roman"/>
        <family val="1"/>
        <charset val="238"/>
      </rPr>
      <t>9.654.694 Ft</t>
    </r>
  </si>
  <si>
    <t>Hitelállomány 2019. 01. 01. napján</t>
  </si>
  <si>
    <t>Hévíz Balaton Airport Kft (működési és marketing tevékenység)</t>
  </si>
  <si>
    <t>Városi könyvkiadás támogatása</t>
  </si>
  <si>
    <t>Hévíz Város Turisztikai honlpajának fejlesztése</t>
  </si>
  <si>
    <t>2022.</t>
  </si>
  <si>
    <t xml:space="preserve">  .../201. (……..) önkormányzati rendelet 5. melléklete</t>
  </si>
  <si>
    <t xml:space="preserve">előirányzat felhasználási ütemterv a 2019. évi  költségvetési rendelethez </t>
  </si>
  <si>
    <t>2020.</t>
  </si>
  <si>
    <t>MTÜ Kisfaludy2030 Turisztikai Fejlesztő N.Zrt  „Hévíz-Balaton Airport Előzetes Megvalósíthatósági Tanulmány és visszaigényelhető áfa</t>
  </si>
  <si>
    <t>510000 „Hévíz-Balaton Airport Előzetes Megvalósíthatósági Tanulmány+áfa</t>
  </si>
  <si>
    <t xml:space="preserve">6/2019. (II. 1.) önkormányzati rendelet 1/3. melléklete  </t>
  </si>
  <si>
    <t xml:space="preserve"> 6/2019. (II. 1.) önkormányzati rendelet 2/3. melléklete  </t>
  </si>
  <si>
    <t>6/2019. (II. 1.) önkormányzati rendelet 2/4. melléklete</t>
  </si>
  <si>
    <t>6/2019. (II. 1.) önkormányzati rendelet 4. melléklete</t>
  </si>
  <si>
    <t>6/2019. (II. 1.) önkormányzati rendelet 6. melléklete</t>
  </si>
  <si>
    <t xml:space="preserve">  6/2019. (II. 1.) önkormányzati rendelet 8. melléklete 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</si>
  <si>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</si>
  <si>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</si>
  <si>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</si>
  <si>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</si>
  <si>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</si>
  <si>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</si>
  <si>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</si>
  <si>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Takarítónő orvosi rendelő</t>
  </si>
  <si>
    <t>TASZII</t>
  </si>
  <si>
    <t>Önkormányzat és intézményei által biztosított közvetett támogatás</t>
  </si>
  <si>
    <t>Önkormányzat:</t>
  </si>
  <si>
    <t>Idősek szakosított ellátása esetében méltányossági okból biztosítottközvetett támogatás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</si>
  <si>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</si>
  <si>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</si>
  <si>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</si>
  <si>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</si>
  <si>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</si>
  <si>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</si>
  <si>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</si>
  <si>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</si>
  <si>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</si>
  <si>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</si>
  <si>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</si>
  <si>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</si>
  <si>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>Szántó András ev. (Dr. Szántó Endre: "Hévíz története" III-IV. kötet)</t>
  </si>
  <si>
    <t>Dr. Szarka Lajos: Hévíz Beadeker</t>
  </si>
  <si>
    <t>"Hévíz - Balaton  Airport Elezete Tanulmány</t>
  </si>
  <si>
    <t>9/1.</t>
  </si>
  <si>
    <t>9/2.</t>
  </si>
  <si>
    <t>" Hévíz - Balaton Airport légi járműmozgási területén repülőtéri burkolati jelekújrafestése"</t>
  </si>
  <si>
    <t>Hévíz, 1088/6. hrsz-ú, 2140 m2 "kivett parkoló" vásárlása Aquamarin Kft-től</t>
  </si>
  <si>
    <t>Egyéb tárgyi eszköz</t>
  </si>
  <si>
    <t xml:space="preserve">5 db Metal pavilon </t>
  </si>
  <si>
    <t xml:space="preserve">Egyéb tárgyi eszköz </t>
  </si>
  <si>
    <t>502225 "Zala két keréken" TOP-3.1.1-15-ZA-2016-00005</t>
  </si>
  <si>
    <t>502231 "Kisfaludy 2030" reptér pályázat</t>
  </si>
  <si>
    <t xml:space="preserve">502222 Városi térfigyelő kamerarendszer </t>
  </si>
  <si>
    <t>Működési többlet felhasználása felhalmozási hiány fedezésére</t>
  </si>
  <si>
    <t>Hévízi Kálvin Alapítvány</t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</si>
  <si>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                     </t>
    </r>
  </si>
  <si>
    <t xml:space="preserve">valamint adómentesség azon háziorvos, védőnő vállalkozók részére akik vállalkozási szintű adóalapja adóévben a 20.000 ezer forintot nem haladja meg 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</si>
  <si>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3.157 adótárgy, 280.175 m2-re vonatkozóan</t>
    </r>
  </si>
  <si>
    <t xml:space="preserve">7. melléklet a 12/2019. (IV. 25.) rendelethez, 1/7. melléklet 6/2019. (II. 1.) önkormányzati rendelethez </t>
  </si>
  <si>
    <t xml:space="preserve">2. melléklet a 12/2019. (IV. 25.) rendelethez, 1/1. melléklet 6/2019. (II. 1.) önkormányzati rendelethez </t>
  </si>
  <si>
    <t>3. melléklet a 12/2019. (IV. 25.) rendelethez, 1/2. melléklet 6/2019. (II. 1.) önkormányzati rendelethez</t>
  </si>
  <si>
    <t xml:space="preserve">4. melléklet a 12/2019. (IV. 25.) rendelethez, 1/4. melléklet 6/2019. (II. 1.) önkormányzati rendelethez </t>
  </si>
  <si>
    <t xml:space="preserve">5. melléklet a 12/2019. (IV. 25.) rendelethez, 1/5. melléklet 6/2019. (II. 1.) önkormányzati rendelethez </t>
  </si>
  <si>
    <t xml:space="preserve">6. melléklet a 12/2019. (IV. 25.) rendelethez, 1/6. melléklet 6/2019. (II. 1.) önkormányzati rendelethez </t>
  </si>
  <si>
    <t xml:space="preserve">8. melléklet a 12/2019. (IV. 25.) rendelethez, 1/8. melléklet 6/2019. (II. 1.) önkormányzati rendelethez </t>
  </si>
  <si>
    <t xml:space="preserve">9. melléklet a 12/2019. (IV. 25.) rendelethez, 1/9. melléklet 6/2019. (II. 1.) önkormányzati rendelethez </t>
  </si>
  <si>
    <t xml:space="preserve">12. melléklet a 12/2019. (IV. 25.) rendelethez, 2/2. melléklet 6/2019. (II. 1.) önkormányzati rendelethez </t>
  </si>
  <si>
    <t xml:space="preserve"> 17. melléklet a 12/2019. (IV. 25.) rendelethez, 5. melléklet 6/2019. (II. 1.) önkormányzati rendelethez  </t>
  </si>
  <si>
    <t xml:space="preserve">18. melléklet a 12/2019. (IV. 25.) rendelethez, 7. melléklet 6/2019. (II. 1.) önkormányzati rendelethez  </t>
  </si>
  <si>
    <t>Módosító Összeg</t>
  </si>
  <si>
    <t>2019. …-i módosított előirányzat</t>
  </si>
  <si>
    <t>Mód ö</t>
  </si>
  <si>
    <t>Mód ei</t>
  </si>
  <si>
    <t>Mód összeg</t>
  </si>
  <si>
    <t>Mód kötelező ei</t>
  </si>
  <si>
    <t>Mód nem kötelező ei</t>
  </si>
  <si>
    <t xml:space="preserve">2019. 04.26-ai módosított előirányzat </t>
  </si>
  <si>
    <t>2019. 04.26-ai módosított előirányzat</t>
  </si>
  <si>
    <t>T/1.</t>
  </si>
  <si>
    <t>T/1/1.</t>
  </si>
  <si>
    <t>T/1/2.</t>
  </si>
  <si>
    <t>T/2</t>
  </si>
  <si>
    <t>T/3.</t>
  </si>
  <si>
    <t>T/4.</t>
  </si>
  <si>
    <t>T/5.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</si>
</sst>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64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10"/>
      <color rgb="FF0070C0"/>
      <name val="Times New Roman"/>
      <family val="1"/>
      <charset val="238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FF0000"/>
      <name val="Arial"/>
      <family val="2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9"/>
      <color rgb="FFFF3399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b/>
      <sz val="9"/>
      <name val="Arial CE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Dashed">
        <color indexed="64"/>
      </right>
      <top style="thin">
        <color indexed="8"/>
      </top>
      <bottom/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7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7" fillId="0" borderId="0"/>
    <xf numFmtId="0" fontId="117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2" fillId="0" borderId="0"/>
    <xf numFmtId="0" fontId="20" fillId="0" borderId="0"/>
    <xf numFmtId="0" fontId="95" fillId="0" borderId="0"/>
    <xf numFmtId="0" fontId="19" fillId="0" borderId="0"/>
    <xf numFmtId="0" fontId="18" fillId="0" borderId="0"/>
    <xf numFmtId="0" fontId="67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738">
    <xf numFmtId="0" fontId="0" fillId="0" borderId="0" xfId="0"/>
    <xf numFmtId="0" fontId="25" fillId="0" borderId="10" xfId="0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1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3" fontId="44" fillId="0" borderId="0" xfId="0" applyNumberFormat="1" applyFont="1"/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3" fillId="0" borderId="0" xfId="0" applyFont="1"/>
    <xf numFmtId="3" fontId="20" fillId="0" borderId="0" xfId="0" applyNumberFormat="1" applyFont="1"/>
    <xf numFmtId="3" fontId="53" fillId="0" borderId="0" xfId="0" applyNumberFormat="1" applyFont="1"/>
    <xf numFmtId="3" fontId="53" fillId="0" borderId="0" xfId="0" applyNumberFormat="1" applyFont="1" applyBorder="1"/>
    <xf numFmtId="0" fontId="53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1" xfId="0" applyFont="1" applyBorder="1" applyAlignment="1">
      <alignment horizontal="center" wrapText="1"/>
    </xf>
    <xf numFmtId="166" fontId="28" fillId="0" borderId="11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8" fillId="24" borderId="11" xfId="0" applyFont="1" applyFill="1" applyBorder="1" applyAlignment="1">
      <alignment horizontal="left" vertical="center" wrapText="1"/>
    </xf>
    <xf numFmtId="49" fontId="48" fillId="24" borderId="11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8" fillId="0" borderId="11" xfId="0" applyFont="1" applyBorder="1" applyAlignment="1">
      <alignment wrapText="1"/>
    </xf>
    <xf numFmtId="0" fontId="48" fillId="0" borderId="11" xfId="0" applyFont="1" applyBorder="1"/>
    <xf numFmtId="0" fontId="48" fillId="0" borderId="11" xfId="0" applyFont="1" applyBorder="1" applyAlignment="1">
      <alignment horizontal="right"/>
    </xf>
    <xf numFmtId="4" fontId="48" fillId="0" borderId="11" xfId="0" applyNumberFormat="1" applyFont="1" applyBorder="1" applyAlignment="1">
      <alignment horizontal="right"/>
    </xf>
    <xf numFmtId="167" fontId="48" fillId="0" borderId="11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50" fillId="0" borderId="0" xfId="0" applyFont="1" applyBorder="1"/>
    <xf numFmtId="0" fontId="50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8" fillId="0" borderId="0" xfId="0" applyFont="1" applyBorder="1" applyAlignment="1"/>
    <xf numFmtId="0" fontId="48" fillId="0" borderId="13" xfId="0" applyFont="1" applyBorder="1" applyAlignment="1">
      <alignment wrapText="1"/>
    </xf>
    <xf numFmtId="0" fontId="48" fillId="0" borderId="13" xfId="0" applyFont="1" applyBorder="1"/>
    <xf numFmtId="0" fontId="48" fillId="0" borderId="13" xfId="0" applyFont="1" applyBorder="1" applyAlignment="1">
      <alignment horizontal="right"/>
    </xf>
    <xf numFmtId="0" fontId="54" fillId="0" borderId="13" xfId="0" applyFont="1" applyBorder="1" applyAlignment="1">
      <alignment horizontal="right"/>
    </xf>
    <xf numFmtId="0" fontId="48" fillId="0" borderId="13" xfId="0" applyFont="1" applyBorder="1" applyAlignment="1"/>
    <xf numFmtId="0" fontId="54" fillId="0" borderId="11" xfId="0" applyFont="1" applyBorder="1" applyAlignment="1">
      <alignment wrapText="1"/>
    </xf>
    <xf numFmtId="0" fontId="54" fillId="0" borderId="11" xfId="0" applyFont="1" applyBorder="1"/>
    <xf numFmtId="0" fontId="54" fillId="0" borderId="11" xfId="0" applyFont="1" applyBorder="1" applyAlignment="1">
      <alignment horizontal="right"/>
    </xf>
    <xf numFmtId="0" fontId="50" fillId="0" borderId="11" xfId="0" applyFont="1" applyBorder="1" applyAlignment="1">
      <alignment horizontal="right"/>
    </xf>
    <xf numFmtId="0" fontId="50" fillId="0" borderId="14" xfId="0" applyFont="1" applyBorder="1" applyAlignment="1">
      <alignment wrapText="1"/>
    </xf>
    <xf numFmtId="0" fontId="50" fillId="0" borderId="14" xfId="0" applyFont="1" applyBorder="1"/>
    <xf numFmtId="0" fontId="50" fillId="0" borderId="14" xfId="0" applyFont="1" applyBorder="1" applyAlignment="1">
      <alignment horizontal="right"/>
    </xf>
    <xf numFmtId="0" fontId="48" fillId="0" borderId="14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0" fontId="48" fillId="0" borderId="0" xfId="0" applyFont="1" applyBorder="1"/>
    <xf numFmtId="0" fontId="54" fillId="0" borderId="0" xfId="0" applyFont="1" applyBorder="1" applyAlignment="1">
      <alignment horizontal="right"/>
    </xf>
    <xf numFmtId="0" fontId="55" fillId="0" borderId="13" xfId="0" applyFont="1" applyBorder="1" applyAlignment="1">
      <alignment wrapText="1"/>
    </xf>
    <xf numFmtId="0" fontId="55" fillId="0" borderId="11" xfId="0" applyFont="1" applyBorder="1"/>
    <xf numFmtId="0" fontId="55" fillId="0" borderId="11" xfId="0" applyFont="1" applyBorder="1" applyAlignment="1">
      <alignment wrapText="1"/>
    </xf>
    <xf numFmtId="49" fontId="48" fillId="0" borderId="11" xfId="0" applyNumberFormat="1" applyFont="1" applyBorder="1" applyAlignment="1">
      <alignment horizontal="right"/>
    </xf>
    <xf numFmtId="0" fontId="48" fillId="0" borderId="0" xfId="0" applyFont="1" applyBorder="1" applyAlignment="1">
      <alignment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0" xfId="78" applyNumberFormat="1" applyFont="1"/>
    <xf numFmtId="0" fontId="28" fillId="0" borderId="0" xfId="78" applyFont="1"/>
    <xf numFmtId="0" fontId="60" fillId="0" borderId="0" xfId="78" applyFont="1"/>
    <xf numFmtId="0" fontId="61" fillId="0" borderId="0" xfId="78" applyFont="1"/>
    <xf numFmtId="0" fontId="30" fillId="0" borderId="0" xfId="78" applyFont="1"/>
    <xf numFmtId="3" fontId="37" fillId="0" borderId="0" xfId="78" applyNumberFormat="1" applyFont="1"/>
    <xf numFmtId="3" fontId="60" fillId="0" borderId="0" xfId="78" applyNumberFormat="1" applyFont="1"/>
    <xf numFmtId="0" fontId="57" fillId="0" borderId="0" xfId="0" applyFont="1"/>
    <xf numFmtId="0" fontId="65" fillId="0" borderId="0" xfId="0" applyFont="1"/>
    <xf numFmtId="3" fontId="57" fillId="0" borderId="0" xfId="0" applyNumberFormat="1" applyFont="1"/>
    <xf numFmtId="3" fontId="57" fillId="0" borderId="0" xfId="0" applyNumberFormat="1" applyFont="1" applyBorder="1"/>
    <xf numFmtId="3" fontId="57" fillId="0" borderId="18" xfId="0" applyNumberFormat="1" applyFont="1" applyBorder="1"/>
    <xf numFmtId="0" fontId="64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6" fillId="0" borderId="0" xfId="0" applyFont="1"/>
    <xf numFmtId="0" fontId="50" fillId="0" borderId="19" xfId="0" applyFont="1" applyBorder="1" applyAlignment="1">
      <alignment wrapText="1"/>
    </xf>
    <xf numFmtId="0" fontId="50" fillId="0" borderId="19" xfId="0" applyFont="1" applyBorder="1"/>
    <xf numFmtId="0" fontId="50" fillId="0" borderId="19" xfId="0" applyFont="1" applyBorder="1" applyAlignment="1">
      <alignment horizontal="right"/>
    </xf>
    <xf numFmtId="0" fontId="48" fillId="0" borderId="19" xfId="0" applyFont="1" applyBorder="1" applyAlignment="1">
      <alignment horizontal="right"/>
    </xf>
    <xf numFmtId="3" fontId="57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8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6" fillId="0" borderId="0" xfId="0" applyNumberFormat="1" applyFont="1"/>
    <xf numFmtId="0" fontId="56" fillId="0" borderId="0" xfId="0" applyFont="1" applyAlignment="1">
      <alignment wrapText="1"/>
    </xf>
    <xf numFmtId="0" fontId="71" fillId="0" borderId="0" xfId="0" applyFont="1"/>
    <xf numFmtId="0" fontId="31" fillId="0" borderId="0" xfId="0" applyFont="1"/>
    <xf numFmtId="0" fontId="56" fillId="0" borderId="0" xfId="0" applyFont="1"/>
    <xf numFmtId="0" fontId="24" fillId="0" borderId="11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horizontal="center"/>
    </xf>
    <xf numFmtId="0" fontId="57" fillId="0" borderId="0" xfId="0" applyFont="1" applyBorder="1"/>
    <xf numFmtId="3" fontId="28" fillId="0" borderId="0" xfId="0" applyNumberFormat="1" applyFont="1" applyBorder="1"/>
    <xf numFmtId="0" fontId="63" fillId="0" borderId="0" xfId="0" applyFont="1" applyBorder="1"/>
    <xf numFmtId="3" fontId="25" fillId="0" borderId="0" xfId="0" applyNumberFormat="1" applyFont="1" applyBorder="1"/>
    <xf numFmtId="0" fontId="34" fillId="0" borderId="0" xfId="0" applyFont="1"/>
    <xf numFmtId="0" fontId="25" fillId="0" borderId="0" xfId="0" applyFont="1" applyBorder="1"/>
    <xf numFmtId="3" fontId="25" fillId="0" borderId="0" xfId="0" applyNumberFormat="1" applyFont="1"/>
    <xf numFmtId="0" fontId="25" fillId="0" borderId="0" xfId="0" applyFont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56" fillId="0" borderId="0" xfId="71" applyFont="1" applyAlignment="1">
      <alignment vertical="center"/>
    </xf>
    <xf numFmtId="3" fontId="75" fillId="0" borderId="30" xfId="71" applyNumberFormat="1" applyFont="1" applyFill="1" applyBorder="1" applyAlignment="1">
      <alignment horizontal="center" vertical="center" wrapText="1"/>
    </xf>
    <xf numFmtId="0" fontId="56" fillId="0" borderId="23" xfId="71" applyFont="1" applyBorder="1" applyAlignment="1">
      <alignment vertical="center"/>
    </xf>
    <xf numFmtId="3" fontId="22" fillId="0" borderId="23" xfId="71" applyNumberFormat="1" applyFont="1" applyFill="1" applyBorder="1" applyAlignment="1">
      <alignment vertical="center"/>
    </xf>
    <xf numFmtId="3" fontId="56" fillId="0" borderId="0" xfId="71" applyNumberFormat="1" applyFont="1" applyAlignment="1">
      <alignment vertical="center"/>
    </xf>
    <xf numFmtId="0" fontId="76" fillId="0" borderId="0" xfId="0" applyFont="1"/>
    <xf numFmtId="0" fontId="28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57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3" fontId="64" fillId="0" borderId="32" xfId="0" applyNumberFormat="1" applyFont="1" applyBorder="1" applyAlignment="1">
      <alignment horizontal="center" vertical="center"/>
    </xf>
    <xf numFmtId="3" fontId="64" fillId="0" borderId="33" xfId="0" applyNumberFormat="1" applyFont="1" applyBorder="1" applyAlignment="1">
      <alignment horizontal="center" vertical="center" wrapText="1"/>
    </xf>
    <xf numFmtId="3" fontId="64" fillId="0" borderId="34" xfId="0" applyNumberFormat="1" applyFont="1" applyBorder="1" applyAlignment="1">
      <alignment horizontal="center" vertical="center" wrapText="1"/>
    </xf>
    <xf numFmtId="0" fontId="57" fillId="0" borderId="22" xfId="0" applyFont="1" applyBorder="1" applyAlignment="1">
      <alignment horizontal="right"/>
    </xf>
    <xf numFmtId="0" fontId="57" fillId="0" borderId="0" xfId="0" applyFont="1" applyFill="1" applyBorder="1"/>
    <xf numFmtId="3" fontId="57" fillId="0" borderId="35" xfId="0" applyNumberFormat="1" applyFont="1" applyFill="1" applyBorder="1"/>
    <xf numFmtId="3" fontId="57" fillId="0" borderId="18" xfId="0" applyNumberFormat="1" applyFont="1" applyFill="1" applyBorder="1"/>
    <xf numFmtId="3" fontId="57" fillId="0" borderId="0" xfId="0" applyNumberFormat="1" applyFont="1" applyFill="1" applyBorder="1"/>
    <xf numFmtId="3" fontId="64" fillId="0" borderId="22" xfId="0" applyNumberFormat="1" applyFont="1" applyBorder="1"/>
    <xf numFmtId="3" fontId="57" fillId="0" borderId="0" xfId="0" applyNumberFormat="1" applyFont="1" applyBorder="1" applyAlignment="1">
      <alignment horizontal="center" vertical="center" wrapText="1"/>
    </xf>
    <xf numFmtId="3" fontId="57" fillId="0" borderId="18" xfId="0" applyNumberFormat="1" applyFont="1" applyBorder="1" applyAlignment="1">
      <alignment horizontal="center" vertical="center" wrapText="1"/>
    </xf>
    <xf numFmtId="3" fontId="64" fillId="0" borderId="0" xfId="0" applyNumberFormat="1" applyFont="1"/>
    <xf numFmtId="3" fontId="57" fillId="0" borderId="21" xfId="0" applyNumberFormat="1" applyFont="1" applyFill="1" applyBorder="1"/>
    <xf numFmtId="0" fontId="57" fillId="0" borderId="36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1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/>
    <xf numFmtId="0" fontId="22" fillId="0" borderId="0" xfId="0" applyFont="1" applyBorder="1"/>
    <xf numFmtId="3" fontId="24" fillId="0" borderId="0" xfId="0" applyNumberFormat="1" applyFont="1" applyBorder="1"/>
    <xf numFmtId="0" fontId="22" fillId="0" borderId="0" xfId="0" applyFont="1" applyAlignment="1">
      <alignment wrapText="1"/>
    </xf>
    <xf numFmtId="3" fontId="22" fillId="0" borderId="0" xfId="0" applyNumberFormat="1" applyFont="1"/>
    <xf numFmtId="3" fontId="57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37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2" fillId="0" borderId="25" xfId="0" applyFont="1" applyBorder="1"/>
    <xf numFmtId="0" fontId="22" fillId="0" borderId="21" xfId="0" applyFont="1" applyBorder="1"/>
    <xf numFmtId="3" fontId="22" fillId="0" borderId="21" xfId="0" applyNumberFormat="1" applyFont="1" applyBorder="1"/>
    <xf numFmtId="0" fontId="24" fillId="0" borderId="0" xfId="0" applyFont="1" applyAlignment="1">
      <alignment wrapText="1"/>
    </xf>
    <xf numFmtId="3" fontId="24" fillId="0" borderId="25" xfId="0" applyNumberFormat="1" applyFont="1" applyBorder="1"/>
    <xf numFmtId="0" fontId="22" fillId="0" borderId="23" xfId="0" applyFont="1" applyBorder="1" applyAlignment="1">
      <alignment horizontal="center"/>
    </xf>
    <xf numFmtId="3" fontId="24" fillId="0" borderId="41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2" fillId="0" borderId="0" xfId="0" applyFont="1"/>
    <xf numFmtId="165" fontId="48" fillId="0" borderId="11" xfId="0" applyNumberFormat="1" applyFont="1" applyBorder="1" applyAlignment="1">
      <alignment horizontal="right"/>
    </xf>
    <xf numFmtId="0" fontId="48" fillId="0" borderId="14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right"/>
    </xf>
    <xf numFmtId="0" fontId="54" fillId="0" borderId="23" xfId="0" applyFont="1" applyBorder="1" applyAlignment="1">
      <alignment wrapText="1"/>
    </xf>
    <xf numFmtId="0" fontId="48" fillId="0" borderId="23" xfId="0" applyFont="1" applyBorder="1"/>
    <xf numFmtId="0" fontId="50" fillId="0" borderId="23" xfId="0" applyFont="1" applyBorder="1" applyAlignment="1">
      <alignment horizontal="right"/>
    </xf>
    <xf numFmtId="0" fontId="54" fillId="0" borderId="23" xfId="0" applyFont="1" applyBorder="1" applyAlignment="1">
      <alignment horizontal="right"/>
    </xf>
    <xf numFmtId="0" fontId="48" fillId="0" borderId="23" xfId="0" applyFont="1" applyBorder="1" applyAlignment="1">
      <alignment horizontal="right"/>
    </xf>
    <xf numFmtId="0" fontId="48" fillId="0" borderId="0" xfId="0" applyFont="1" applyBorder="1" applyAlignment="1">
      <alignment shrinkToFit="1"/>
    </xf>
    <xf numFmtId="0" fontId="54" fillId="0" borderId="23" xfId="0" applyFont="1" applyBorder="1"/>
    <xf numFmtId="0" fontId="55" fillId="0" borderId="23" xfId="0" applyFont="1" applyBorder="1" applyAlignment="1">
      <alignment horizontal="right"/>
    </xf>
    <xf numFmtId="3" fontId="58" fillId="0" borderId="0" xfId="0" applyNumberFormat="1" applyFont="1" applyBorder="1"/>
    <xf numFmtId="3" fontId="75" fillId="0" borderId="42" xfId="71" applyNumberFormat="1" applyFont="1" applyFill="1" applyBorder="1" applyAlignment="1">
      <alignment horizontal="center" vertical="center" wrapText="1"/>
    </xf>
    <xf numFmtId="3" fontId="75" fillId="0" borderId="43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3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0" fontId="70" fillId="0" borderId="0" xfId="0" applyFont="1" applyBorder="1" applyAlignment="1">
      <alignment horizontal="right"/>
    </xf>
    <xf numFmtId="0" fontId="31" fillId="0" borderId="0" xfId="0" applyFont="1" applyAlignment="1"/>
    <xf numFmtId="3" fontId="65" fillId="0" borderId="0" xfId="0" applyNumberFormat="1" applyFont="1"/>
    <xf numFmtId="3" fontId="58" fillId="0" borderId="0" xfId="0" applyNumberFormat="1" applyFont="1"/>
    <xf numFmtId="3" fontId="59" fillId="0" borderId="0" xfId="0" applyNumberFormat="1" applyFont="1"/>
    <xf numFmtId="3" fontId="73" fillId="0" borderId="0" xfId="0" applyNumberFormat="1" applyFont="1"/>
    <xf numFmtId="3" fontId="24" fillId="0" borderId="0" xfId="0" applyNumberFormat="1" applyFont="1"/>
    <xf numFmtId="3" fontId="78" fillId="0" borderId="0" xfId="0" applyNumberFormat="1" applyFont="1" applyAlignment="1"/>
    <xf numFmtId="0" fontId="22" fillId="0" borderId="44" xfId="0" applyFont="1" applyBorder="1"/>
    <xf numFmtId="0" fontId="30" fillId="0" borderId="0" xfId="0" applyFont="1" applyAlignment="1">
      <alignment horizontal="center" vertical="center" wrapText="1"/>
    </xf>
    <xf numFmtId="3" fontId="57" fillId="0" borderId="32" xfId="0" applyNumberFormat="1" applyFont="1" applyBorder="1" applyAlignment="1">
      <alignment horizontal="center" vertical="center"/>
    </xf>
    <xf numFmtId="3" fontId="59" fillId="0" borderId="31" xfId="0" applyNumberFormat="1" applyFont="1" applyBorder="1"/>
    <xf numFmtId="0" fontId="83" fillId="0" borderId="0" xfId="0" applyFont="1"/>
    <xf numFmtId="3" fontId="64" fillId="0" borderId="47" xfId="0" applyNumberFormat="1" applyFont="1" applyBorder="1" applyAlignment="1">
      <alignment horizontal="center" vertical="center" wrapText="1"/>
    </xf>
    <xf numFmtId="3" fontId="64" fillId="0" borderId="48" xfId="0" applyNumberFormat="1" applyFont="1" applyBorder="1" applyAlignment="1">
      <alignment horizontal="center" vertical="center"/>
    </xf>
    <xf numFmtId="3" fontId="64" fillId="0" borderId="49" xfId="0" applyNumberFormat="1" applyFont="1" applyBorder="1" applyAlignment="1">
      <alignment horizontal="center" vertical="center" wrapText="1"/>
    </xf>
    <xf numFmtId="3" fontId="64" fillId="0" borderId="50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horizontal="right"/>
    </xf>
    <xf numFmtId="3" fontId="64" fillId="0" borderId="51" xfId="0" applyNumberFormat="1" applyFont="1" applyBorder="1" applyAlignment="1">
      <alignment horizontal="center" vertical="center" wrapText="1"/>
    </xf>
    <xf numFmtId="3" fontId="64" fillId="0" borderId="39" xfId="0" applyNumberFormat="1" applyFont="1" applyBorder="1" applyAlignment="1">
      <alignment horizontal="center" vertical="center" wrapText="1"/>
    </xf>
    <xf numFmtId="3" fontId="57" fillId="0" borderId="52" xfId="0" applyNumberFormat="1" applyFont="1" applyBorder="1" applyAlignment="1">
      <alignment horizontal="right" vertical="center" wrapText="1"/>
    </xf>
    <xf numFmtId="3" fontId="64" fillId="0" borderId="53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/>
    </xf>
    <xf numFmtId="3" fontId="58" fillId="0" borderId="54" xfId="0" applyNumberFormat="1" applyFont="1" applyBorder="1" applyAlignment="1">
      <alignment horizontal="right"/>
    </xf>
    <xf numFmtId="3" fontId="59" fillId="0" borderId="55" xfId="0" applyNumberFormat="1" applyFont="1" applyBorder="1"/>
    <xf numFmtId="49" fontId="28" fillId="0" borderId="0" xfId="78" applyNumberFormat="1" applyFont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3" fontId="25" fillId="0" borderId="15" xfId="78" applyNumberFormat="1" applyFont="1" applyBorder="1" applyAlignment="1">
      <alignment horizontal="center" vertical="center" wrapText="1"/>
    </xf>
    <xf numFmtId="3" fontId="25" fillId="0" borderId="22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56" xfId="0" applyBorder="1" applyAlignment="1"/>
    <xf numFmtId="0" fontId="85" fillId="0" borderId="0" xfId="0" applyFont="1"/>
    <xf numFmtId="0" fontId="89" fillId="0" borderId="0" xfId="0" applyFont="1"/>
    <xf numFmtId="0" fontId="89" fillId="0" borderId="0" xfId="0" applyFont="1" applyAlignment="1">
      <alignment horizontal="right"/>
    </xf>
    <xf numFmtId="0" fontId="92" fillId="0" borderId="0" xfId="0" applyFont="1"/>
    <xf numFmtId="3" fontId="89" fillId="0" borderId="0" xfId="0" applyNumberFormat="1" applyFont="1" applyBorder="1"/>
    <xf numFmtId="0" fontId="89" fillId="0" borderId="0" xfId="0" applyFont="1" applyBorder="1"/>
    <xf numFmtId="0" fontId="90" fillId="0" borderId="0" xfId="0" applyFont="1"/>
    <xf numFmtId="3" fontId="90" fillId="0" borderId="0" xfId="0" applyNumberFormat="1" applyFont="1"/>
    <xf numFmtId="3" fontId="89" fillId="0" borderId="0" xfId="0" applyNumberFormat="1" applyFont="1"/>
    <xf numFmtId="3" fontId="64" fillId="0" borderId="57" xfId="0" applyNumberFormat="1" applyFont="1" applyFill="1" applyBorder="1"/>
    <xf numFmtId="3" fontId="64" fillId="0" borderId="58" xfId="0" applyNumberFormat="1" applyFont="1" applyBorder="1"/>
    <xf numFmtId="3" fontId="39" fillId="0" borderId="0" xfId="0" applyNumberFormat="1" applyFont="1" applyAlignment="1">
      <alignment horizontal="right"/>
    </xf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3" fillId="0" borderId="0" xfId="73" applyFont="1"/>
    <xf numFmtId="0" fontId="47" fillId="0" borderId="0" xfId="73" applyFont="1"/>
    <xf numFmtId="0" fontId="51" fillId="0" borderId="0" xfId="73" applyFont="1"/>
    <xf numFmtId="0" fontId="23" fillId="0" borderId="0" xfId="77" applyFont="1"/>
    <xf numFmtId="0" fontId="20" fillId="0" borderId="0" xfId="77" applyFont="1"/>
    <xf numFmtId="0" fontId="53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3" fillId="0" borderId="0" xfId="77" applyFont="1"/>
    <xf numFmtId="0" fontId="42" fillId="0" borderId="0" xfId="73" applyFont="1"/>
    <xf numFmtId="3" fontId="42" fillId="0" borderId="0" xfId="73" applyNumberFormat="1" applyFont="1"/>
    <xf numFmtId="0" fontId="97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2" fillId="0" borderId="0" xfId="77" applyFont="1"/>
    <xf numFmtId="3" fontId="52" fillId="0" borderId="0" xfId="77" applyNumberFormat="1" applyFont="1"/>
    <xf numFmtId="3" fontId="52" fillId="0" borderId="0" xfId="77" applyNumberFormat="1" applyFont="1" applyAlignment="1">
      <alignment horizontal="right"/>
    </xf>
    <xf numFmtId="0" fontId="52" fillId="0" borderId="0" xfId="77" applyFont="1" applyAlignment="1">
      <alignment horizontal="right"/>
    </xf>
    <xf numFmtId="9" fontId="52" fillId="0" borderId="0" xfId="77" applyNumberFormat="1" applyFont="1" applyAlignment="1">
      <alignment horizontal="right"/>
    </xf>
    <xf numFmtId="3" fontId="53" fillId="0" borderId="0" xfId="77" applyNumberFormat="1" applyFont="1"/>
    <xf numFmtId="0" fontId="53" fillId="0" borderId="0" xfId="77" applyFont="1" applyAlignment="1">
      <alignment horizontal="right"/>
    </xf>
    <xf numFmtId="3" fontId="83" fillId="0" borderId="0" xfId="0" applyNumberFormat="1" applyFont="1"/>
    <xf numFmtId="0" fontId="100" fillId="0" borderId="0" xfId="72" applyFont="1" applyAlignment="1"/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3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2" fillId="0" borderId="0" xfId="72" applyFont="1" applyBorder="1" applyAlignment="1"/>
    <xf numFmtId="0" fontId="52" fillId="0" borderId="0" xfId="72" applyFont="1" applyBorder="1" applyAlignment="1" applyProtection="1">
      <alignment wrapText="1"/>
      <protection locked="0"/>
    </xf>
    <xf numFmtId="3" fontId="98" fillId="0" borderId="0" xfId="72" applyNumberFormat="1" applyFont="1" applyAlignment="1"/>
    <xf numFmtId="0" fontId="98" fillId="0" borderId="0" xfId="72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Alignment="1"/>
    <xf numFmtId="14" fontId="98" fillId="0" borderId="0" xfId="72" applyNumberFormat="1" applyFont="1" applyAlignment="1">
      <alignment horizontal="right"/>
    </xf>
    <xf numFmtId="0" fontId="98" fillId="0" borderId="0" xfId="72" applyFont="1" applyBorder="1" applyAlignment="1">
      <alignment horizontal="left"/>
    </xf>
    <xf numFmtId="0" fontId="98" fillId="0" borderId="0" xfId="72" applyFont="1" applyBorder="1" applyAlignment="1">
      <alignment horizontal="left" wrapText="1"/>
    </xf>
    <xf numFmtId="14" fontId="98" fillId="0" borderId="0" xfId="72" applyNumberFormat="1" applyFont="1" applyBorder="1" applyAlignment="1">
      <alignment horizontal="right"/>
    </xf>
    <xf numFmtId="0" fontId="98" fillId="0" borderId="0" xfId="72" applyFont="1" applyBorder="1" applyAlignment="1">
      <alignment horizontal="right"/>
    </xf>
    <xf numFmtId="14" fontId="98" fillId="0" borderId="0" xfId="72" applyNumberFormat="1" applyFont="1" applyBorder="1" applyAlignment="1" applyProtection="1">
      <alignment horizontal="left"/>
      <protection locked="0"/>
    </xf>
    <xf numFmtId="0" fontId="98" fillId="0" borderId="0" xfId="72" applyFont="1" applyBorder="1" applyAlignment="1" applyProtection="1">
      <alignment horizontal="left" wrapText="1"/>
      <protection locked="0"/>
    </xf>
    <xf numFmtId="14" fontId="98" fillId="0" borderId="0" xfId="72" applyNumberFormat="1" applyFont="1" applyBorder="1" applyAlignment="1" applyProtection="1">
      <alignment horizontal="right"/>
      <protection locked="0"/>
    </xf>
    <xf numFmtId="1" fontId="98" fillId="0" borderId="0" xfId="72" applyNumberFormat="1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protection locked="0"/>
    </xf>
    <xf numFmtId="1" fontId="52" fillId="0" borderId="0" xfId="72" applyNumberFormat="1" applyFont="1" applyBorder="1" applyAlignment="1" applyProtection="1">
      <protection locked="0"/>
    </xf>
    <xf numFmtId="0" fontId="52" fillId="0" borderId="0" xfId="72" applyFont="1" applyBorder="1" applyAlignment="1" applyProtection="1">
      <alignment horizontal="right" wrapText="1"/>
      <protection locked="0"/>
    </xf>
    <xf numFmtId="3" fontId="98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8" fillId="0" borderId="0" xfId="72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8" fillId="0" borderId="0" xfId="72" applyFont="1"/>
    <xf numFmtId="0" fontId="98" fillId="0" borderId="0" xfId="72" applyFont="1" applyAlignment="1">
      <alignment horizontal="left" wrapText="1"/>
    </xf>
    <xf numFmtId="0" fontId="98" fillId="0" borderId="0" xfId="72" applyFont="1" applyAlignment="1">
      <alignment wrapText="1"/>
    </xf>
    <xf numFmtId="0" fontId="98" fillId="0" borderId="0" xfId="72" applyFont="1" applyAlignment="1">
      <alignment horizontal="right" wrapText="1"/>
    </xf>
    <xf numFmtId="3" fontId="98" fillId="0" borderId="0" xfId="72" applyNumberFormat="1" applyFont="1" applyAlignment="1">
      <alignment wrapText="1"/>
    </xf>
    <xf numFmtId="0" fontId="98" fillId="0" borderId="0" xfId="72" applyFont="1" applyBorder="1" applyAlignment="1">
      <alignment wrapText="1"/>
    </xf>
    <xf numFmtId="0" fontId="98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8" fillId="0" borderId="0" xfId="72" applyNumberFormat="1" applyFont="1"/>
    <xf numFmtId="0" fontId="53" fillId="0" borderId="0" xfId="72" applyFont="1" applyBorder="1" applyAlignment="1"/>
    <xf numFmtId="0" fontId="53" fillId="0" borderId="0" xfId="72" applyFont="1" applyAlignment="1"/>
    <xf numFmtId="49" fontId="100" fillId="0" borderId="23" xfId="72" applyNumberFormat="1" applyFont="1" applyBorder="1" applyAlignment="1">
      <alignment horizontal="center"/>
    </xf>
    <xf numFmtId="0" fontId="100" fillId="0" borderId="23" xfId="72" applyFont="1" applyBorder="1" applyAlignment="1"/>
    <xf numFmtId="49" fontId="53" fillId="0" borderId="0" xfId="72" applyNumberFormat="1" applyFont="1" applyBorder="1" applyAlignment="1">
      <alignment horizontal="center"/>
    </xf>
    <xf numFmtId="0" fontId="100" fillId="0" borderId="0" xfId="72" applyFont="1" applyAlignment="1">
      <alignment horizontal="left"/>
    </xf>
    <xf numFmtId="0" fontId="100" fillId="0" borderId="0" xfId="72" applyFont="1" applyBorder="1" applyAlignment="1">
      <alignment horizontal="center"/>
    </xf>
    <xf numFmtId="0" fontId="100" fillId="0" borderId="0" xfId="72" applyFont="1" applyBorder="1" applyAlignment="1">
      <alignment horizontal="right"/>
    </xf>
    <xf numFmtId="0" fontId="101" fillId="0" borderId="0" xfId="72" applyFont="1" applyBorder="1" applyAlignment="1">
      <alignment horizontal="left"/>
    </xf>
    <xf numFmtId="3" fontId="100" fillId="0" borderId="23" xfId="72" applyNumberFormat="1" applyFont="1" applyBorder="1" applyAlignment="1"/>
    <xf numFmtId="3" fontId="104" fillId="0" borderId="0" xfId="0" applyNumberFormat="1" applyFont="1"/>
    <xf numFmtId="3" fontId="28" fillId="0" borderId="59" xfId="0" applyNumberFormat="1" applyFont="1" applyBorder="1"/>
    <xf numFmtId="3" fontId="57" fillId="0" borderId="59" xfId="0" applyNumberFormat="1" applyFont="1" applyBorder="1"/>
    <xf numFmtId="0" fontId="52" fillId="0" borderId="0" xfId="73" applyFont="1" applyAlignment="1">
      <alignment horizontal="right"/>
    </xf>
    <xf numFmtId="0" fontId="53" fillId="0" borderId="0" xfId="73" applyFont="1" applyAlignment="1">
      <alignment horizontal="center"/>
    </xf>
    <xf numFmtId="0" fontId="51" fillId="0" borderId="0" xfId="73" applyFont="1" applyAlignment="1">
      <alignment horizontal="center"/>
    </xf>
    <xf numFmtId="0" fontId="51" fillId="0" borderId="0" xfId="73" applyFont="1" applyAlignment="1">
      <alignment horizontal="right"/>
    </xf>
    <xf numFmtId="0" fontId="53" fillId="0" borderId="23" xfId="73" applyFont="1" applyBorder="1" applyAlignment="1">
      <alignment horizontal="center"/>
    </xf>
    <xf numFmtId="0" fontId="53" fillId="0" borderId="23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98" fillId="0" borderId="0" xfId="73" applyFont="1"/>
    <xf numFmtId="3" fontId="58" fillId="0" borderId="59" xfId="0" applyNumberFormat="1" applyFont="1" applyBorder="1"/>
    <xf numFmtId="165" fontId="48" fillId="0" borderId="10" xfId="0" applyNumberFormat="1" applyFont="1" applyBorder="1" applyAlignment="1">
      <alignment horizontal="right"/>
    </xf>
    <xf numFmtId="0" fontId="48" fillId="0" borderId="11" xfId="0" applyNumberFormat="1" applyFont="1" applyBorder="1" applyAlignment="1">
      <alignment horizontal="right"/>
    </xf>
    <xf numFmtId="0" fontId="44" fillId="0" borderId="23" xfId="0" applyFont="1" applyBorder="1" applyAlignment="1">
      <alignment horizontal="center"/>
    </xf>
    <xf numFmtId="3" fontId="58" fillId="0" borderId="18" xfId="0" applyNumberFormat="1" applyFont="1" applyBorder="1"/>
    <xf numFmtId="3" fontId="58" fillId="0" borderId="18" xfId="0" applyNumberFormat="1" applyFont="1" applyFill="1" applyBorder="1"/>
    <xf numFmtId="3" fontId="58" fillId="0" borderId="21" xfId="0" applyNumberFormat="1" applyFont="1" applyBorder="1"/>
    <xf numFmtId="3" fontId="58" fillId="0" borderId="0" xfId="0" applyNumberFormat="1" applyFont="1" applyFill="1" applyBorder="1"/>
    <xf numFmtId="3" fontId="59" fillId="0" borderId="63" xfId="0" applyNumberFormat="1" applyFont="1" applyBorder="1"/>
    <xf numFmtId="3" fontId="64" fillId="0" borderId="64" xfId="0" applyNumberFormat="1" applyFont="1" applyBorder="1" applyAlignment="1">
      <alignment horizontal="right" vertical="center" wrapText="1"/>
    </xf>
    <xf numFmtId="3" fontId="64" fillId="0" borderId="65" xfId="0" applyNumberFormat="1" applyFont="1" applyBorder="1" applyAlignment="1">
      <alignment horizontal="center" vertical="center" wrapText="1"/>
    </xf>
    <xf numFmtId="0" fontId="48" fillId="0" borderId="27" xfId="0" applyNumberFormat="1" applyFont="1" applyBorder="1" applyAlignment="1">
      <alignment horizontal="right"/>
    </xf>
    <xf numFmtId="49" fontId="48" fillId="0" borderId="0" xfId="0" applyNumberFormat="1" applyFont="1" applyBorder="1" applyAlignment="1">
      <alignment horizontal="right"/>
    </xf>
    <xf numFmtId="0" fontId="42" fillId="0" borderId="0" xfId="0" applyFont="1" applyBorder="1"/>
    <xf numFmtId="167" fontId="48" fillId="24" borderId="11" xfId="0" applyNumberFormat="1" applyFont="1" applyFill="1" applyBorder="1" applyAlignment="1">
      <alignment horizontal="right" vertical="center"/>
    </xf>
    <xf numFmtId="0" fontId="57" fillId="0" borderId="0" xfId="0" applyFont="1" applyBorder="1" applyAlignment="1">
      <alignment horizontal="left"/>
    </xf>
    <xf numFmtId="3" fontId="57" fillId="0" borderId="21" xfId="0" applyNumberFormat="1" applyFont="1" applyBorder="1" applyAlignment="1">
      <alignment horizontal="right" wrapText="1"/>
    </xf>
    <xf numFmtId="3" fontId="57" fillId="0" borderId="0" xfId="0" applyNumberFormat="1" applyFont="1" applyBorder="1" applyAlignment="1"/>
    <xf numFmtId="0" fontId="64" fillId="0" borderId="45" xfId="0" applyFont="1" applyFill="1" applyBorder="1" applyAlignment="1"/>
    <xf numFmtId="3" fontId="57" fillId="0" borderId="66" xfId="0" applyNumberFormat="1" applyFont="1" applyFill="1" applyBorder="1"/>
    <xf numFmtId="3" fontId="57" fillId="0" borderId="59" xfId="0" applyNumberFormat="1" applyFont="1" applyBorder="1" applyAlignment="1">
      <alignment horizontal="center" vertical="center" wrapText="1"/>
    </xf>
    <xf numFmtId="3" fontId="64" fillId="0" borderId="59" xfId="0" applyNumberFormat="1" applyFont="1" applyBorder="1"/>
    <xf numFmtId="3" fontId="59" fillId="0" borderId="59" xfId="0" applyNumberFormat="1" applyFont="1" applyBorder="1"/>
    <xf numFmtId="3" fontId="64" fillId="0" borderId="67" xfId="0" applyNumberFormat="1" applyFont="1" applyFill="1" applyBorder="1"/>
    <xf numFmtId="3" fontId="64" fillId="0" borderId="54" xfId="0" applyNumberFormat="1" applyFont="1" applyBorder="1" applyAlignment="1">
      <alignment horizontal="right" vertical="center" wrapText="1"/>
    </xf>
    <xf numFmtId="0" fontId="64" fillId="0" borderId="68" xfId="0" applyFont="1" applyFill="1" applyBorder="1" applyAlignment="1"/>
    <xf numFmtId="3" fontId="64" fillId="0" borderId="46" xfId="0" applyNumberFormat="1" applyFont="1" applyFill="1" applyBorder="1"/>
    <xf numFmtId="3" fontId="64" fillId="0" borderId="57" xfId="0" applyNumberFormat="1" applyFont="1" applyBorder="1"/>
    <xf numFmtId="3" fontId="64" fillId="0" borderId="69" xfId="0" applyNumberFormat="1" applyFont="1" applyBorder="1"/>
    <xf numFmtId="3" fontId="64" fillId="0" borderId="70" xfId="0" applyNumberFormat="1" applyFont="1" applyBorder="1"/>
    <xf numFmtId="3" fontId="64" fillId="0" borderId="59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/>
    </xf>
    <xf numFmtId="165" fontId="48" fillId="0" borderId="27" xfId="0" applyNumberFormat="1" applyFont="1" applyBorder="1" applyAlignment="1">
      <alignment horizontal="right"/>
    </xf>
    <xf numFmtId="3" fontId="59" fillId="0" borderId="57" xfId="0" applyNumberFormat="1" applyFont="1" applyFill="1" applyBorder="1"/>
    <xf numFmtId="3" fontId="59" fillId="0" borderId="69" xfId="0" applyNumberFormat="1" applyFont="1" applyFill="1" applyBorder="1"/>
    <xf numFmtId="3" fontId="56" fillId="0" borderId="0" xfId="71" applyNumberFormat="1" applyFont="1" applyAlignment="1">
      <alignment horizontal="right" vertical="center"/>
    </xf>
    <xf numFmtId="0" fontId="32" fillId="0" borderId="23" xfId="71" applyFont="1" applyBorder="1" applyAlignment="1">
      <alignment vertical="center"/>
    </xf>
    <xf numFmtId="4" fontId="31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23" fillId="0" borderId="23" xfId="71" applyNumberFormat="1" applyFont="1" applyFill="1" applyBorder="1" applyAlignment="1">
      <alignment vertical="center"/>
    </xf>
    <xf numFmtId="4" fontId="23" fillId="0" borderId="23" xfId="71" applyNumberFormat="1" applyFont="1" applyFill="1" applyBorder="1" applyAlignment="1">
      <alignment vertical="center"/>
    </xf>
    <xf numFmtId="3" fontId="35" fillId="0" borderId="23" xfId="71" applyNumberFormat="1" applyFont="1" applyFill="1" applyBorder="1" applyAlignment="1">
      <alignment vertical="center" wrapText="1"/>
    </xf>
    <xf numFmtId="0" fontId="31" fillId="0" borderId="23" xfId="71" applyFont="1" applyBorder="1" applyAlignment="1">
      <alignment vertical="center"/>
    </xf>
    <xf numFmtId="165" fontId="23" fillId="0" borderId="23" xfId="71" applyNumberFormat="1" applyFont="1" applyFill="1" applyBorder="1" applyAlignment="1">
      <alignment vertical="center"/>
    </xf>
    <xf numFmtId="165" fontId="23" fillId="0" borderId="23" xfId="71" applyNumberFormat="1" applyFont="1" applyFill="1" applyBorder="1" applyAlignment="1">
      <alignment horizontal="right" vertical="center"/>
    </xf>
    <xf numFmtId="0" fontId="110" fillId="0" borderId="0" xfId="0" applyFont="1"/>
    <xf numFmtId="0" fontId="1" fillId="0" borderId="0" xfId="70" applyAlignment="1">
      <alignment vertical="center"/>
    </xf>
    <xf numFmtId="0" fontId="29" fillId="0" borderId="44" xfId="71" applyFont="1" applyBorder="1" applyAlignment="1">
      <alignment vertical="center"/>
    </xf>
    <xf numFmtId="3" fontId="22" fillId="0" borderId="44" xfId="71" applyNumberFormat="1" applyFont="1" applyFill="1" applyBorder="1" applyAlignment="1">
      <alignment vertical="center"/>
    </xf>
    <xf numFmtId="0" fontId="32" fillId="0" borderId="44" xfId="71" applyFont="1" applyBorder="1" applyAlignment="1">
      <alignment vertical="center"/>
    </xf>
    <xf numFmtId="3" fontId="25" fillId="0" borderId="0" xfId="0" applyNumberFormat="1" applyFont="1" applyFill="1"/>
    <xf numFmtId="3" fontId="57" fillId="0" borderId="0" xfId="0" applyNumberFormat="1" applyFont="1" applyBorder="1" applyAlignment="1">
      <alignment horizontal="right"/>
    </xf>
    <xf numFmtId="0" fontId="57" fillId="0" borderId="64" xfId="0" applyFont="1" applyBorder="1"/>
    <xf numFmtId="0" fontId="57" fillId="0" borderId="59" xfId="0" applyFont="1" applyBorder="1"/>
    <xf numFmtId="0" fontId="57" fillId="0" borderId="61" xfId="0" applyFont="1" applyBorder="1"/>
    <xf numFmtId="3" fontId="64" fillId="0" borderId="61" xfId="0" applyNumberFormat="1" applyFont="1" applyBorder="1" applyAlignment="1">
      <alignment horizontal="right"/>
    </xf>
    <xf numFmtId="3" fontId="110" fillId="0" borderId="0" xfId="0" applyNumberFormat="1" applyFont="1"/>
    <xf numFmtId="3" fontId="111" fillId="0" borderId="0" xfId="0" applyNumberFormat="1" applyFont="1"/>
    <xf numFmtId="0" fontId="110" fillId="0" borderId="0" xfId="0" applyFont="1" applyBorder="1"/>
    <xf numFmtId="0" fontId="111" fillId="0" borderId="0" xfId="0" applyFont="1"/>
    <xf numFmtId="0" fontId="28" fillId="0" borderId="0" xfId="0" applyFont="1" applyFill="1"/>
    <xf numFmtId="0" fontId="89" fillId="0" borderId="0" xfId="0" applyFont="1" applyFill="1"/>
    <xf numFmtId="0" fontId="85" fillId="0" borderId="0" xfId="0" applyFont="1" applyFill="1"/>
    <xf numFmtId="3" fontId="22" fillId="0" borderId="25" xfId="0" applyNumberFormat="1" applyFont="1" applyFill="1" applyBorder="1"/>
    <xf numFmtId="3" fontId="24" fillId="0" borderId="25" xfId="0" applyNumberFormat="1" applyFont="1" applyFill="1" applyBorder="1"/>
    <xf numFmtId="3" fontId="22" fillId="0" borderId="44" xfId="0" applyNumberFormat="1" applyFont="1" applyFill="1" applyBorder="1"/>
    <xf numFmtId="3" fontId="58" fillId="0" borderId="18" xfId="0" applyNumberFormat="1" applyFont="1" applyBorder="1" applyAlignment="1">
      <alignment horizontal="right" wrapText="1"/>
    </xf>
    <xf numFmtId="0" fontId="43" fillId="0" borderId="0" xfId="0" applyFont="1" applyBorder="1"/>
    <xf numFmtId="0" fontId="54" fillId="0" borderId="10" xfId="0" applyFont="1" applyBorder="1" applyAlignment="1">
      <alignment horizontal="right"/>
    </xf>
    <xf numFmtId="167" fontId="20" fillId="0" borderId="0" xfId="0" applyNumberFormat="1" applyFont="1"/>
    <xf numFmtId="0" fontId="32" fillId="0" borderId="21" xfId="71" applyFont="1" applyBorder="1" applyAlignment="1">
      <alignment vertical="center"/>
    </xf>
    <xf numFmtId="0" fontId="1" fillId="0" borderId="21" xfId="70" applyBorder="1" applyAlignment="1">
      <alignment vertical="center"/>
    </xf>
    <xf numFmtId="0" fontId="32" fillId="0" borderId="21" xfId="71" applyFont="1" applyBorder="1" applyAlignment="1">
      <alignment vertical="center" wrapText="1"/>
    </xf>
    <xf numFmtId="0" fontId="105" fillId="0" borderId="21" xfId="71" applyFont="1" applyBorder="1" applyAlignment="1">
      <alignment horizontal="center" vertical="center" wrapText="1"/>
    </xf>
    <xf numFmtId="0" fontId="33" fillId="0" borderId="21" xfId="70" applyFont="1" applyBorder="1" applyAlignment="1">
      <alignment vertical="center" wrapText="1"/>
    </xf>
    <xf numFmtId="0" fontId="1" fillId="0" borderId="21" xfId="70" applyBorder="1" applyAlignment="1">
      <alignment vertical="center" wrapText="1"/>
    </xf>
    <xf numFmtId="0" fontId="106" fillId="0" borderId="21" xfId="71" applyFont="1" applyBorder="1" applyAlignment="1">
      <alignment vertical="center" wrapText="1"/>
    </xf>
    <xf numFmtId="0" fontId="23" fillId="0" borderId="21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48" fillId="0" borderId="0" xfId="0" applyNumberFormat="1" applyFont="1" applyBorder="1" applyAlignment="1">
      <alignment horizontal="right"/>
    </xf>
    <xf numFmtId="3" fontId="31" fillId="0" borderId="25" xfId="0" applyNumberFormat="1" applyFont="1" applyBorder="1"/>
    <xf numFmtId="0" fontId="54" fillId="0" borderId="14" xfId="0" applyFont="1" applyBorder="1" applyAlignment="1">
      <alignment wrapText="1"/>
    </xf>
    <xf numFmtId="0" fontId="48" fillId="0" borderId="19" xfId="0" applyFont="1" applyBorder="1" applyAlignment="1">
      <alignment wrapText="1"/>
    </xf>
    <xf numFmtId="0" fontId="48" fillId="0" borderId="19" xfId="0" applyFont="1" applyBorder="1"/>
    <xf numFmtId="0" fontId="54" fillId="0" borderId="19" xfId="0" applyFont="1" applyBorder="1" applyAlignment="1">
      <alignment horizontal="right"/>
    </xf>
    <xf numFmtId="4" fontId="48" fillId="0" borderId="19" xfId="0" applyNumberFormat="1" applyFont="1" applyBorder="1" applyAlignment="1">
      <alignment horizontal="right"/>
    </xf>
    <xf numFmtId="1" fontId="48" fillId="0" borderId="23" xfId="0" applyNumberFormat="1" applyFont="1" applyBorder="1" applyAlignment="1">
      <alignment horizontal="right"/>
    </xf>
    <xf numFmtId="0" fontId="55" fillId="0" borderId="14" xfId="0" applyFont="1" applyBorder="1" applyAlignment="1">
      <alignment wrapText="1"/>
    </xf>
    <xf numFmtId="3" fontId="119" fillId="0" borderId="23" xfId="71" applyNumberFormat="1" applyFont="1" applyBorder="1" applyAlignment="1">
      <alignment vertical="center"/>
    </xf>
    <xf numFmtId="0" fontId="54" fillId="0" borderId="0" xfId="72" applyFont="1" applyAlignment="1">
      <alignment horizontal="center"/>
    </xf>
    <xf numFmtId="0" fontId="48" fillId="0" borderId="23" xfId="72" applyFont="1" applyBorder="1" applyAlignment="1">
      <alignment horizontal="center"/>
    </xf>
    <xf numFmtId="0" fontId="48" fillId="0" borderId="23" xfId="72" applyFont="1" applyFill="1" applyBorder="1" applyAlignment="1">
      <alignment horizontal="center"/>
    </xf>
    <xf numFmtId="49" fontId="100" fillId="0" borderId="23" xfId="72" applyNumberFormat="1" applyFont="1" applyFill="1" applyBorder="1" applyAlignment="1">
      <alignment horizontal="center"/>
    </xf>
    <xf numFmtId="0" fontId="54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4" fillId="0" borderId="0" xfId="72" applyFont="1" applyFill="1" applyBorder="1" applyAlignment="1">
      <alignment horizontal="center"/>
    </xf>
    <xf numFmtId="0" fontId="54" fillId="0" borderId="0" xfId="72" applyFont="1" applyFill="1" applyAlignment="1">
      <alignment horizontal="left"/>
    </xf>
    <xf numFmtId="0" fontId="54" fillId="0" borderId="0" xfId="72" applyFont="1" applyFill="1" applyAlignment="1"/>
    <xf numFmtId="3" fontId="54" fillId="0" borderId="0" xfId="72" applyNumberFormat="1" applyFont="1" applyFill="1" applyAlignment="1"/>
    <xf numFmtId="0" fontId="54" fillId="0" borderId="0" xfId="72" applyFont="1" applyFill="1" applyBorder="1" applyAlignment="1">
      <alignment horizontal="left"/>
    </xf>
    <xf numFmtId="0" fontId="54" fillId="0" borderId="0" xfId="72" applyFont="1" applyFill="1" applyBorder="1" applyAlignment="1">
      <alignment horizontal="left" wrapText="1"/>
    </xf>
    <xf numFmtId="3" fontId="54" fillId="0" borderId="0" xfId="72" applyNumberFormat="1" applyFont="1" applyFill="1" applyBorder="1" applyAlignment="1">
      <alignment horizontal="right"/>
    </xf>
    <xf numFmtId="14" fontId="54" fillId="0" borderId="0" xfId="72" applyNumberFormat="1" applyFont="1" applyFill="1" applyBorder="1" applyAlignment="1" applyProtection="1">
      <alignment horizontal="left"/>
      <protection locked="0"/>
    </xf>
    <xf numFmtId="0" fontId="54" fillId="0" borderId="0" xfId="72" applyFont="1" applyFill="1" applyBorder="1" applyAlignment="1" applyProtection="1">
      <alignment horizontal="left" wrapText="1"/>
      <protection locked="0"/>
    </xf>
    <xf numFmtId="3" fontId="54" fillId="0" borderId="0" xfId="72" applyNumberFormat="1" applyFont="1" applyFill="1" applyBorder="1" applyAlignment="1" applyProtection="1">
      <alignment wrapText="1"/>
      <protection locked="0"/>
    </xf>
    <xf numFmtId="14" fontId="54" fillId="0" borderId="0" xfId="72" applyNumberFormat="1" applyFont="1" applyFill="1" applyBorder="1" applyAlignment="1" applyProtection="1">
      <alignment horizontal="left" vertical="center"/>
      <protection locked="0"/>
    </xf>
    <xf numFmtId="3" fontId="122" fillId="0" borderId="0" xfId="0" applyNumberFormat="1" applyFont="1" applyFill="1"/>
    <xf numFmtId="14" fontId="98" fillId="0" borderId="0" xfId="72" applyNumberFormat="1" applyFont="1" applyFill="1" applyBorder="1" applyAlignment="1" applyProtection="1">
      <alignment horizontal="left"/>
      <protection locked="0"/>
    </xf>
    <xf numFmtId="3" fontId="123" fillId="0" borderId="0" xfId="72" applyNumberFormat="1" applyFont="1" applyFill="1" applyBorder="1" applyAlignment="1" applyProtection="1">
      <alignment wrapText="1"/>
      <protection locked="0"/>
    </xf>
    <xf numFmtId="3" fontId="98" fillId="0" borderId="0" xfId="0" applyNumberFormat="1" applyFont="1" applyFill="1"/>
    <xf numFmtId="3" fontId="98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4" fillId="0" borderId="0" xfId="0" applyFont="1" applyFill="1"/>
    <xf numFmtId="0" fontId="125" fillId="0" borderId="23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4" fillId="0" borderId="0" xfId="72" applyNumberFormat="1" applyFont="1" applyFill="1" applyAlignment="1">
      <alignment horizontal="right"/>
    </xf>
    <xf numFmtId="14" fontId="54" fillId="0" borderId="0" xfId="72" applyNumberFormat="1" applyFont="1" applyFill="1" applyBorder="1" applyAlignment="1">
      <alignment horizontal="right"/>
    </xf>
    <xf numFmtId="0" fontId="54" fillId="0" borderId="0" xfId="72" applyFont="1" applyFill="1" applyAlignment="1">
      <alignment horizontal="right"/>
    </xf>
    <xf numFmtId="14" fontId="54" fillId="0" borderId="0" xfId="72" applyNumberFormat="1" applyFont="1" applyFill="1" applyBorder="1" applyAlignment="1" applyProtection="1">
      <alignment horizontal="right"/>
      <protection locked="0"/>
    </xf>
    <xf numFmtId="0" fontId="54" fillId="0" borderId="0" xfId="72" applyFont="1" applyFill="1" applyBorder="1" applyAlignment="1">
      <alignment horizontal="center" vertical="center"/>
    </xf>
    <xf numFmtId="0" fontId="54" fillId="0" borderId="0" xfId="72" applyFont="1" applyFill="1" applyBorder="1" applyAlignment="1" applyProtection="1">
      <alignment horizontal="left" vertical="center" wrapText="1"/>
      <protection locked="0"/>
    </xf>
    <xf numFmtId="14" fontId="54" fillId="0" borderId="0" xfId="72" applyNumberFormat="1" applyFont="1" applyFill="1" applyBorder="1" applyAlignment="1" applyProtection="1">
      <alignment horizontal="right" vertical="center"/>
      <protection locked="0"/>
    </xf>
    <xf numFmtId="3" fontId="54" fillId="0" borderId="0" xfId="72" applyNumberFormat="1" applyFont="1" applyFill="1" applyBorder="1" applyAlignment="1" applyProtection="1">
      <alignment vertical="center" wrapText="1"/>
      <protection locked="0"/>
    </xf>
    <xf numFmtId="14" fontId="98" fillId="0" borderId="0" xfId="72" applyNumberFormat="1" applyFont="1" applyFill="1" applyBorder="1" applyAlignment="1" applyProtection="1">
      <alignment horizontal="right"/>
      <protection locked="0"/>
    </xf>
    <xf numFmtId="0" fontId="122" fillId="0" borderId="0" xfId="0" applyFont="1" applyFill="1" applyAlignment="1">
      <alignment horizontal="center"/>
    </xf>
    <xf numFmtId="3" fontId="125" fillId="0" borderId="0" xfId="0" applyNumberFormat="1" applyFont="1"/>
    <xf numFmtId="0" fontId="0" fillId="0" borderId="0" xfId="0" applyAlignment="1"/>
    <xf numFmtId="0" fontId="31" fillId="0" borderId="23" xfId="71" applyFont="1" applyBorder="1" applyAlignment="1">
      <alignment vertical="center" wrapText="1"/>
    </xf>
    <xf numFmtId="2" fontId="23" fillId="0" borderId="23" xfId="71" applyNumberFormat="1" applyFont="1" applyFill="1" applyBorder="1" applyAlignment="1">
      <alignment vertical="center"/>
    </xf>
    <xf numFmtId="3" fontId="23" fillId="0" borderId="23" xfId="71" applyNumberFormat="1" applyFont="1" applyFill="1" applyBorder="1" applyAlignment="1">
      <alignment vertical="center" shrinkToFit="1"/>
    </xf>
    <xf numFmtId="3" fontId="120" fillId="0" borderId="23" xfId="71" applyNumberFormat="1" applyFont="1" applyFill="1" applyBorder="1" applyAlignment="1">
      <alignment vertical="center"/>
    </xf>
    <xf numFmtId="3" fontId="120" fillId="0" borderId="23" xfId="71" applyNumberFormat="1" applyFont="1" applyFill="1" applyBorder="1" applyAlignment="1">
      <alignment horizontal="right" vertical="center"/>
    </xf>
    <xf numFmtId="3" fontId="23" fillId="0" borderId="23" xfId="71" applyNumberFormat="1" applyFont="1" applyFill="1" applyBorder="1" applyAlignment="1">
      <alignment horizontal="right" vertical="center"/>
    </xf>
    <xf numFmtId="3" fontId="126" fillId="0" borderId="23" xfId="71" applyNumberFormat="1" applyFont="1" applyFill="1" applyBorder="1" applyAlignment="1">
      <alignment vertical="center"/>
    </xf>
    <xf numFmtId="0" fontId="119" fillId="0" borderId="23" xfId="71" applyFont="1" applyBorder="1" applyAlignment="1">
      <alignment vertical="center"/>
    </xf>
    <xf numFmtId="4" fontId="119" fillId="0" borderId="23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09" fillId="0" borderId="23" xfId="71" applyFont="1" applyBorder="1" applyAlignment="1">
      <alignment vertical="center"/>
    </xf>
    <xf numFmtId="167" fontId="31" fillId="0" borderId="23" xfId="71" applyNumberFormat="1" applyFont="1" applyBorder="1" applyAlignment="1">
      <alignment vertical="center"/>
    </xf>
    <xf numFmtId="4" fontId="120" fillId="0" borderId="23" xfId="71" applyNumberFormat="1" applyFont="1" applyFill="1" applyBorder="1" applyAlignment="1">
      <alignment vertical="center"/>
    </xf>
    <xf numFmtId="3" fontId="127" fillId="0" borderId="23" xfId="71" applyNumberFormat="1" applyFont="1" applyFill="1" applyBorder="1" applyAlignment="1">
      <alignment vertical="center" wrapText="1"/>
    </xf>
    <xf numFmtId="0" fontId="119" fillId="0" borderId="23" xfId="71" applyFont="1" applyBorder="1" applyAlignment="1">
      <alignment vertical="center" wrapText="1"/>
    </xf>
    <xf numFmtId="3" fontId="35" fillId="0" borderId="23" xfId="71" applyNumberFormat="1" applyFont="1" applyFill="1" applyBorder="1" applyAlignment="1">
      <alignment vertical="center" shrinkToFit="1"/>
    </xf>
    <xf numFmtId="164" fontId="120" fillId="0" borderId="23" xfId="71" applyNumberFormat="1" applyFont="1" applyFill="1" applyBorder="1" applyAlignment="1">
      <alignment vertical="center"/>
    </xf>
    <xf numFmtId="165" fontId="120" fillId="0" borderId="23" xfId="71" applyNumberFormat="1" applyFont="1" applyFill="1" applyBorder="1" applyAlignment="1">
      <alignment vertical="center"/>
    </xf>
    <xf numFmtId="168" fontId="120" fillId="0" borderId="23" xfId="71" applyNumberFormat="1" applyFont="1" applyFill="1" applyBorder="1" applyAlignment="1">
      <alignment vertical="center"/>
    </xf>
    <xf numFmtId="3" fontId="120" fillId="0" borderId="23" xfId="71" applyNumberFormat="1" applyFont="1" applyBorder="1" applyAlignment="1">
      <alignment vertical="center"/>
    </xf>
    <xf numFmtId="3" fontId="120" fillId="0" borderId="23" xfId="71" applyNumberFormat="1" applyFont="1" applyBorder="1" applyAlignment="1">
      <alignment horizontal="right" vertical="center"/>
    </xf>
    <xf numFmtId="165" fontId="120" fillId="0" borderId="23" xfId="71" applyNumberFormat="1" applyFont="1" applyBorder="1" applyAlignment="1">
      <alignment vertical="center"/>
    </xf>
    <xf numFmtId="0" fontId="128" fillId="0" borderId="23" xfId="75" applyFont="1" applyBorder="1" applyAlignment="1">
      <alignment vertical="center"/>
    </xf>
    <xf numFmtId="3" fontId="120" fillId="0" borderId="23" xfId="75" applyNumberFormat="1" applyFont="1" applyBorder="1" applyAlignment="1">
      <alignment vertical="center"/>
    </xf>
    <xf numFmtId="0" fontId="109" fillId="0" borderId="23" xfId="71" applyFont="1" applyBorder="1" applyAlignment="1">
      <alignment vertical="center" wrapText="1"/>
    </xf>
    <xf numFmtId="9" fontId="120" fillId="0" borderId="23" xfId="71" applyNumberFormat="1" applyFont="1" applyFill="1" applyBorder="1" applyAlignment="1">
      <alignment vertical="center"/>
    </xf>
    <xf numFmtId="0" fontId="119" fillId="0" borderId="24" xfId="71" applyFont="1" applyBorder="1" applyAlignment="1">
      <alignment vertical="center" wrapText="1"/>
    </xf>
    <xf numFmtId="3" fontId="120" fillId="0" borderId="24" xfId="71" applyNumberFormat="1" applyFont="1" applyBorder="1" applyAlignment="1">
      <alignment vertical="center"/>
    </xf>
    <xf numFmtId="3" fontId="120" fillId="0" borderId="24" xfId="71" applyNumberFormat="1" applyFont="1" applyFill="1" applyBorder="1" applyAlignment="1">
      <alignment vertical="center"/>
    </xf>
    <xf numFmtId="165" fontId="120" fillId="0" borderId="24" xfId="71" applyNumberFormat="1" applyFont="1" applyFill="1" applyBorder="1" applyAlignment="1">
      <alignment vertical="center"/>
    </xf>
    <xf numFmtId="3" fontId="119" fillId="0" borderId="24" xfId="71" applyNumberFormat="1" applyFont="1" applyBorder="1" applyAlignment="1">
      <alignment vertical="center"/>
    </xf>
    <xf numFmtId="4" fontId="119" fillId="0" borderId="24" xfId="71" applyNumberFormat="1" applyFont="1" applyBorder="1" applyAlignment="1">
      <alignment vertical="center"/>
    </xf>
    <xf numFmtId="0" fontId="109" fillId="0" borderId="79" xfId="71" applyFont="1" applyFill="1" applyBorder="1" applyAlignment="1">
      <alignment vertical="center"/>
    </xf>
    <xf numFmtId="3" fontId="129" fillId="0" borderId="57" xfId="71" applyNumberFormat="1" applyFont="1" applyFill="1" applyBorder="1" applyAlignment="1">
      <alignment vertical="center"/>
    </xf>
    <xf numFmtId="3" fontId="129" fillId="0" borderId="69" xfId="71" applyNumberFormat="1" applyFont="1" applyFill="1" applyBorder="1" applyAlignment="1">
      <alignment vertical="center"/>
    </xf>
    <xf numFmtId="3" fontId="129" fillId="0" borderId="31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0" fontId="48" fillId="0" borderId="80" xfId="0" applyFont="1" applyBorder="1"/>
    <xf numFmtId="0" fontId="50" fillId="0" borderId="80" xfId="0" applyFont="1" applyBorder="1" applyAlignment="1">
      <alignment horizontal="right"/>
    </xf>
    <xf numFmtId="0" fontId="54" fillId="0" borderId="80" xfId="0" applyFont="1" applyBorder="1" applyAlignment="1">
      <alignment horizontal="right"/>
    </xf>
    <xf numFmtId="0" fontId="48" fillId="0" borderId="80" xfId="0" applyFont="1" applyBorder="1" applyAlignment="1">
      <alignment horizontal="right"/>
    </xf>
    <xf numFmtId="4" fontId="48" fillId="0" borderId="80" xfId="0" applyNumberFormat="1" applyFont="1" applyBorder="1" applyAlignment="1">
      <alignment horizontal="right"/>
    </xf>
    <xf numFmtId="0" fontId="48" fillId="0" borderId="41" xfId="0" applyFont="1" applyBorder="1" applyAlignment="1">
      <alignment shrinkToFit="1"/>
    </xf>
    <xf numFmtId="0" fontId="54" fillId="0" borderId="77" xfId="0" applyFont="1" applyBorder="1"/>
    <xf numFmtId="0" fontId="55" fillId="0" borderId="77" xfId="0" applyFont="1" applyBorder="1" applyAlignment="1">
      <alignment horizontal="right"/>
    </xf>
    <xf numFmtId="0" fontId="54" fillId="0" borderId="77" xfId="0" applyFont="1" applyBorder="1" applyAlignment="1">
      <alignment horizontal="right"/>
    </xf>
    <xf numFmtId="0" fontId="48" fillId="0" borderId="77" xfId="0" applyFont="1" applyBorder="1" applyAlignment="1">
      <alignment horizontal="right"/>
    </xf>
    <xf numFmtId="0" fontId="48" fillId="0" borderId="78" xfId="0" applyFont="1" applyFill="1" applyBorder="1" applyAlignment="1">
      <alignment horizontal="right"/>
    </xf>
    <xf numFmtId="14" fontId="98" fillId="0" borderId="0" xfId="72" applyNumberFormat="1" applyFont="1" applyFill="1" applyBorder="1" applyAlignment="1" applyProtection="1">
      <alignment horizontal="left" wrapText="1"/>
      <protection locked="0"/>
    </xf>
    <xf numFmtId="0" fontId="109" fillId="0" borderId="24" xfId="71" applyFont="1" applyBorder="1" applyAlignment="1">
      <alignment vertical="center" wrapText="1"/>
    </xf>
    <xf numFmtId="0" fontId="31" fillId="0" borderId="24" xfId="71" applyFont="1" applyBorder="1" applyAlignment="1">
      <alignment vertical="center" wrapText="1"/>
    </xf>
    <xf numFmtId="3" fontId="31" fillId="25" borderId="23" xfId="71" applyNumberFormat="1" applyFont="1" applyFill="1" applyBorder="1" applyAlignment="1">
      <alignment vertical="center"/>
    </xf>
    <xf numFmtId="4" fontId="23" fillId="25" borderId="23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167" fontId="48" fillId="0" borderId="23" xfId="0" applyNumberFormat="1" applyFont="1" applyBorder="1" applyAlignment="1">
      <alignment horizontal="right"/>
    </xf>
    <xf numFmtId="167" fontId="48" fillId="0" borderId="11" xfId="0" applyNumberFormat="1" applyFont="1" applyBorder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3" fillId="0" borderId="0" xfId="73" applyNumberFormat="1" applyFont="1"/>
    <xf numFmtId="0" fontId="132" fillId="0" borderId="23" xfId="71" applyFont="1" applyBorder="1" applyAlignment="1">
      <alignment vertical="center"/>
    </xf>
    <xf numFmtId="2" fontId="120" fillId="0" borderId="23" xfId="71" applyNumberFormat="1" applyFont="1" applyFill="1" applyBorder="1" applyAlignment="1">
      <alignment vertical="center"/>
    </xf>
    <xf numFmtId="3" fontId="119" fillId="0" borderId="23" xfId="71" applyNumberFormat="1" applyFont="1" applyBorder="1" applyAlignment="1">
      <alignment vertical="center" wrapText="1"/>
    </xf>
    <xf numFmtId="0" fontId="133" fillId="0" borderId="23" xfId="71" applyFont="1" applyBorder="1" applyAlignment="1">
      <alignment vertical="center"/>
    </xf>
    <xf numFmtId="3" fontId="120" fillId="0" borderId="23" xfId="71" applyNumberFormat="1" applyFont="1" applyFill="1" applyBorder="1" applyAlignment="1">
      <alignment vertical="center" shrinkToFit="1"/>
    </xf>
    <xf numFmtId="165" fontId="31" fillId="0" borderId="23" xfId="71" applyNumberFormat="1" applyFont="1" applyBorder="1" applyAlignment="1">
      <alignment vertical="center"/>
    </xf>
    <xf numFmtId="3" fontId="127" fillId="0" borderId="23" xfId="71" applyNumberFormat="1" applyFont="1" applyFill="1" applyBorder="1" applyAlignment="1">
      <alignment vertical="center" shrinkToFit="1"/>
    </xf>
    <xf numFmtId="3" fontId="23" fillId="0" borderId="23" xfId="71" applyNumberFormat="1" applyFont="1" applyBorder="1" applyAlignment="1">
      <alignment horizontal="right" vertical="center"/>
    </xf>
    <xf numFmtId="3" fontId="23" fillId="0" borderId="23" xfId="71" applyNumberFormat="1" applyFont="1" applyBorder="1" applyAlignment="1">
      <alignment vertical="center"/>
    </xf>
    <xf numFmtId="9" fontId="23" fillId="0" borderId="23" xfId="71" applyNumberFormat="1" applyFont="1" applyFill="1" applyBorder="1" applyAlignment="1">
      <alignment vertical="center"/>
    </xf>
    <xf numFmtId="3" fontId="120" fillId="0" borderId="23" xfId="71" applyNumberFormat="1" applyFont="1" applyBorder="1" applyAlignment="1">
      <alignment vertical="center" wrapText="1"/>
    </xf>
    <xf numFmtId="0" fontId="114" fillId="0" borderId="0" xfId="71" applyFont="1" applyAlignment="1">
      <alignment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 wrapText="1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0" fontId="106" fillId="0" borderId="0" xfId="71" applyFont="1" applyBorder="1" applyAlignment="1">
      <alignment vertical="center"/>
    </xf>
    <xf numFmtId="0" fontId="134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5" fillId="0" borderId="0" xfId="71" applyFont="1" applyAlignment="1">
      <alignment vertical="center"/>
    </xf>
    <xf numFmtId="3" fontId="44" fillId="0" borderId="31" xfId="0" applyNumberFormat="1" applyFont="1" applyBorder="1"/>
    <xf numFmtId="0" fontId="28" fillId="0" borderId="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53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3" fillId="0" borderId="11" xfId="0" applyFont="1" applyBorder="1" applyAlignment="1">
      <alignment horizontal="center"/>
    </xf>
    <xf numFmtId="3" fontId="26" fillId="0" borderId="11" xfId="0" applyNumberFormat="1" applyFont="1" applyBorder="1" applyAlignment="1">
      <alignment horizontal="center"/>
    </xf>
    <xf numFmtId="3" fontId="23" fillId="0" borderId="11" xfId="0" applyNumberFormat="1" applyFont="1" applyBorder="1" applyAlignment="1">
      <alignment horizontal="center"/>
    </xf>
    <xf numFmtId="0" fontId="53" fillId="0" borderId="10" xfId="0" applyFont="1" applyBorder="1"/>
    <xf numFmtId="3" fontId="26" fillId="0" borderId="10" xfId="0" applyNumberFormat="1" applyFont="1" applyBorder="1"/>
    <xf numFmtId="3" fontId="26" fillId="0" borderId="27" xfId="0" applyNumberFormat="1" applyFont="1" applyBorder="1"/>
    <xf numFmtId="3" fontId="0" fillId="0" borderId="0" xfId="0" applyNumberFormat="1" applyFont="1"/>
    <xf numFmtId="0" fontId="53" fillId="0" borderId="12" xfId="0" applyFont="1" applyBorder="1"/>
    <xf numFmtId="3" fontId="26" fillId="0" borderId="17" xfId="0" applyNumberFormat="1" applyFont="1" applyBorder="1"/>
    <xf numFmtId="3" fontId="26" fillId="0" borderId="29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3" fontId="31" fillId="0" borderId="23" xfId="71" applyNumberFormat="1" applyFont="1" applyBorder="1" applyAlignment="1">
      <alignment vertical="center" wrapText="1"/>
    </xf>
    <xf numFmtId="3" fontId="25" fillId="0" borderId="63" xfId="78" applyNumberFormat="1" applyFont="1" applyBorder="1"/>
    <xf numFmtId="165" fontId="43" fillId="0" borderId="0" xfId="0" applyNumberFormat="1" applyFont="1"/>
    <xf numFmtId="0" fontId="58" fillId="0" borderId="59" xfId="0" applyFont="1" applyBorder="1"/>
    <xf numFmtId="0" fontId="82" fillId="0" borderId="59" xfId="0" applyFont="1" applyBorder="1"/>
    <xf numFmtId="0" fontId="33" fillId="0" borderId="0" xfId="0" applyFont="1" applyBorder="1"/>
    <xf numFmtId="3" fontId="64" fillId="0" borderId="72" xfId="0" applyNumberFormat="1" applyFont="1" applyBorder="1" applyAlignment="1">
      <alignment horizontal="center" vertical="center" wrapText="1"/>
    </xf>
    <xf numFmtId="3" fontId="28" fillId="0" borderId="75" xfId="0" applyNumberFormat="1" applyFont="1" applyBorder="1"/>
    <xf numFmtId="0" fontId="77" fillId="0" borderId="74" xfId="0" applyFont="1" applyBorder="1" applyAlignment="1">
      <alignment horizontal="left" vertical="center"/>
    </xf>
    <xf numFmtId="0" fontId="32" fillId="0" borderId="0" xfId="71" applyFont="1" applyAlignment="1">
      <alignment vertical="center" wrapText="1"/>
    </xf>
    <xf numFmtId="0" fontId="114" fillId="0" borderId="0" xfId="71" applyFont="1" applyAlignment="1">
      <alignment vertical="center" wrapText="1"/>
    </xf>
    <xf numFmtId="169" fontId="28" fillId="0" borderId="11" xfId="0" applyNumberFormat="1" applyFont="1" applyBorder="1" applyAlignment="1">
      <alignment horizontal="center" vertical="center"/>
    </xf>
    <xf numFmtId="3" fontId="48" fillId="0" borderId="11" xfId="0" applyNumberFormat="1" applyFont="1" applyBorder="1" applyAlignment="1">
      <alignment horizontal="right"/>
    </xf>
    <xf numFmtId="1" fontId="48" fillId="0" borderId="11" xfId="0" applyNumberFormat="1" applyFont="1" applyBorder="1" applyAlignment="1">
      <alignment horizontal="right"/>
    </xf>
    <xf numFmtId="3" fontId="109" fillId="0" borderId="31" xfId="0" applyNumberFormat="1" applyFont="1" applyBorder="1"/>
    <xf numFmtId="3" fontId="48" fillId="0" borderId="23" xfId="0" applyNumberFormat="1" applyFont="1" applyBorder="1" applyAlignment="1">
      <alignment horizontal="right"/>
    </xf>
    <xf numFmtId="3" fontId="48" fillId="0" borderId="11" xfId="0" applyNumberFormat="1" applyFont="1" applyBorder="1"/>
    <xf numFmtId="170" fontId="48" fillId="0" borderId="11" xfId="0" applyNumberFormat="1" applyFont="1" applyBorder="1" applyAlignment="1">
      <alignment horizontal="right"/>
    </xf>
    <xf numFmtId="0" fontId="30" fillId="0" borderId="0" xfId="78" applyFont="1" applyAlignment="1">
      <alignment vertical="center"/>
    </xf>
    <xf numFmtId="0" fontId="28" fillId="0" borderId="45" xfId="0" applyFont="1" applyBorder="1" applyAlignment="1">
      <alignment horizontal="center"/>
    </xf>
    <xf numFmtId="3" fontId="133" fillId="0" borderId="23" xfId="71" applyNumberFormat="1" applyFont="1" applyBorder="1" applyAlignment="1">
      <alignment vertical="center"/>
    </xf>
    <xf numFmtId="3" fontId="142" fillId="0" borderId="23" xfId="71" applyNumberFormat="1" applyFont="1" applyFill="1" applyBorder="1" applyAlignment="1">
      <alignment vertical="center"/>
    </xf>
    <xf numFmtId="0" fontId="142" fillId="0" borderId="0" xfId="71" applyFont="1" applyAlignment="1">
      <alignment vertical="center"/>
    </xf>
    <xf numFmtId="0" fontId="143" fillId="0" borderId="0" xfId="0" applyFont="1" applyFill="1"/>
    <xf numFmtId="0" fontId="1" fillId="0" borderId="0" xfId="70" applyAlignment="1">
      <alignment vertical="center"/>
    </xf>
    <xf numFmtId="3" fontId="145" fillId="0" borderId="23" xfId="71" applyNumberFormat="1" applyFont="1" applyBorder="1" applyAlignment="1">
      <alignment vertical="center"/>
    </xf>
    <xf numFmtId="3" fontId="146" fillId="0" borderId="0" xfId="71" applyNumberFormat="1" applyFont="1" applyAlignment="1">
      <alignment vertical="center"/>
    </xf>
    <xf numFmtId="3" fontId="144" fillId="0" borderId="23" xfId="71" applyNumberFormat="1" applyFont="1" applyBorder="1" applyAlignment="1">
      <alignment vertical="center" wrapText="1"/>
    </xf>
    <xf numFmtId="165" fontId="145" fillId="0" borderId="23" xfId="71" applyNumberFormat="1" applyFont="1" applyBorder="1" applyAlignment="1">
      <alignment vertical="center"/>
    </xf>
    <xf numFmtId="167" fontId="145" fillId="0" borderId="23" xfId="71" applyNumberFormat="1" applyFont="1" applyBorder="1" applyAlignment="1">
      <alignment vertical="center"/>
    </xf>
    <xf numFmtId="4" fontId="145" fillId="0" borderId="23" xfId="71" applyNumberFormat="1" applyFont="1" applyBorder="1" applyAlignment="1">
      <alignment vertical="center"/>
    </xf>
    <xf numFmtId="3" fontId="147" fillId="0" borderId="23" xfId="71" applyNumberFormat="1" applyFont="1" applyFill="1" applyBorder="1" applyAlignment="1">
      <alignment vertical="center"/>
    </xf>
    <xf numFmtId="3" fontId="145" fillId="0" borderId="23" xfId="71" applyNumberFormat="1" applyFont="1" applyBorder="1" applyAlignment="1">
      <alignment vertical="center" wrapText="1"/>
    </xf>
    <xf numFmtId="0" fontId="28" fillId="0" borderId="0" xfId="78" applyFont="1" applyBorder="1" applyAlignment="1">
      <alignment horizontal="center" wrapText="1"/>
    </xf>
    <xf numFmtId="165" fontId="54" fillId="0" borderId="11" xfId="0" applyNumberFormat="1" applyFont="1" applyBorder="1"/>
    <xf numFmtId="0" fontId="149" fillId="0" borderId="0" xfId="0" applyFont="1"/>
    <xf numFmtId="0" fontId="53" fillId="0" borderId="19" xfId="0" applyFont="1" applyBorder="1"/>
    <xf numFmtId="3" fontId="26" fillId="0" borderId="19" xfId="0" applyNumberFormat="1" applyFont="1" applyBorder="1"/>
    <xf numFmtId="0" fontId="20" fillId="0" borderId="19" xfId="0" applyFont="1" applyBorder="1"/>
    <xf numFmtId="3" fontId="23" fillId="0" borderId="19" xfId="0" applyNumberFormat="1" applyFont="1" applyBorder="1"/>
    <xf numFmtId="167" fontId="100" fillId="0" borderId="11" xfId="0" applyNumberFormat="1" applyFont="1" applyBorder="1" applyAlignment="1">
      <alignment horizontal="right"/>
    </xf>
    <xf numFmtId="0" fontId="53" fillId="0" borderId="41" xfId="0" applyFont="1" applyBorder="1"/>
    <xf numFmtId="3" fontId="26" fillId="0" borderId="80" xfId="0" applyNumberFormat="1" applyFont="1" applyBorder="1"/>
    <xf numFmtId="3" fontId="26" fillId="0" borderId="85" xfId="0" applyNumberFormat="1" applyFont="1" applyBorder="1"/>
    <xf numFmtId="0" fontId="53" fillId="0" borderId="80" xfId="0" applyFont="1" applyBorder="1"/>
    <xf numFmtId="0" fontId="55" fillId="0" borderId="0" xfId="0" applyFont="1" applyBorder="1" applyAlignment="1"/>
    <xf numFmtId="3" fontId="31" fillId="0" borderId="23" xfId="71" applyNumberFormat="1" applyFont="1" applyBorder="1" applyAlignment="1">
      <alignment horizontal="right" vertical="center" wrapText="1"/>
    </xf>
    <xf numFmtId="0" fontId="23" fillId="0" borderId="59" xfId="0" applyFont="1" applyBorder="1"/>
    <xf numFmtId="0" fontId="22" fillId="0" borderId="104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2" fillId="0" borderId="44" xfId="0" applyFont="1" applyBorder="1" applyAlignment="1">
      <alignment horizontal="center"/>
    </xf>
    <xf numFmtId="0" fontId="43" fillId="0" borderId="24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43" fillId="0" borderId="25" xfId="0" applyFont="1" applyBorder="1" applyAlignment="1">
      <alignment horizontal="center" vertical="center"/>
    </xf>
    <xf numFmtId="0" fontId="98" fillId="0" borderId="11" xfId="0" applyFont="1" applyBorder="1" applyAlignment="1">
      <alignment horizontal="right"/>
    </xf>
    <xf numFmtId="0" fontId="100" fillId="0" borderId="11" xfId="0" applyFont="1" applyBorder="1" applyAlignment="1">
      <alignment horizontal="right"/>
    </xf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100" fillId="0" borderId="23" xfId="72" applyFont="1" applyBorder="1" applyAlignment="1">
      <alignment horizontal="center"/>
    </xf>
    <xf numFmtId="0" fontId="100" fillId="0" borderId="23" xfId="72" applyFont="1" applyFill="1" applyBorder="1" applyAlignment="1">
      <alignment horizontal="center"/>
    </xf>
    <xf numFmtId="0" fontId="100" fillId="0" borderId="23" xfId="72" applyFont="1" applyBorder="1" applyAlignment="1">
      <alignment wrapText="1"/>
    </xf>
    <xf numFmtId="0" fontId="0" fillId="0" borderId="44" xfId="0" applyFont="1" applyBorder="1" applyAlignment="1">
      <alignment wrapText="1"/>
    </xf>
    <xf numFmtId="0" fontId="0" fillId="0" borderId="0" xfId="0" applyFont="1" applyAlignment="1">
      <alignment wrapText="1"/>
    </xf>
    <xf numFmtId="0" fontId="100" fillId="0" borderId="23" xfId="72" applyFont="1" applyBorder="1" applyAlignment="1">
      <alignment horizontal="center" wrapText="1"/>
    </xf>
    <xf numFmtId="49" fontId="100" fillId="0" borderId="23" xfId="72" applyNumberFormat="1" applyFont="1" applyFill="1" applyBorder="1" applyAlignment="1">
      <alignment horizontal="center" wrapText="1"/>
    </xf>
    <xf numFmtId="0" fontId="100" fillId="0" borderId="23" xfId="0" applyFont="1" applyBorder="1" applyAlignment="1">
      <alignment horizontal="center" wrapText="1"/>
    </xf>
    <xf numFmtId="0" fontId="98" fillId="0" borderId="0" xfId="72" applyFont="1" applyFill="1" applyBorder="1" applyAlignment="1">
      <alignment horizontal="center"/>
    </xf>
    <xf numFmtId="0" fontId="98" fillId="0" borderId="0" xfId="72" applyFont="1" applyFill="1" applyAlignment="1">
      <alignment horizontal="left" wrapText="1"/>
    </xf>
    <xf numFmtId="0" fontId="98" fillId="0" borderId="0" xfId="72" applyFont="1" applyFill="1" applyAlignment="1">
      <alignment wrapText="1"/>
    </xf>
    <xf numFmtId="0" fontId="98" fillId="0" borderId="0" xfId="72" applyFont="1" applyFill="1" applyAlignment="1">
      <alignment horizontal="center"/>
    </xf>
    <xf numFmtId="3" fontId="98" fillId="0" borderId="0" xfId="72" applyNumberFormat="1" applyFont="1" applyFill="1" applyAlignment="1">
      <alignment wrapText="1"/>
    </xf>
    <xf numFmtId="0" fontId="98" fillId="0" borderId="0" xfId="72" applyFont="1" applyFill="1" applyAlignment="1">
      <alignment horizontal="left"/>
    </xf>
    <xf numFmtId="0" fontId="98" fillId="0" borderId="0" xfId="72" applyFont="1" applyFill="1" applyAlignment="1"/>
    <xf numFmtId="3" fontId="98" fillId="0" borderId="0" xfId="72" applyNumberFormat="1" applyFont="1" applyFill="1" applyAlignment="1"/>
    <xf numFmtId="14" fontId="98" fillId="0" borderId="0" xfId="72" applyNumberFormat="1" applyFont="1" applyFill="1" applyAlignment="1">
      <alignment horizontal="center"/>
    </xf>
    <xf numFmtId="0" fontId="98" fillId="0" borderId="0" xfId="72" applyFont="1" applyFill="1" applyBorder="1" applyAlignment="1">
      <alignment horizontal="left"/>
    </xf>
    <xf numFmtId="0" fontId="98" fillId="0" borderId="0" xfId="72" applyFont="1" applyFill="1" applyBorder="1" applyAlignment="1">
      <alignment horizontal="left" wrapText="1"/>
    </xf>
    <xf numFmtId="14" fontId="98" fillId="0" borderId="0" xfId="72" applyNumberFormat="1" applyFont="1" applyFill="1" applyBorder="1" applyAlignment="1">
      <alignment horizontal="center"/>
    </xf>
    <xf numFmtId="3" fontId="98" fillId="0" borderId="0" xfId="72" applyNumberFormat="1" applyFont="1" applyFill="1" applyBorder="1" applyAlignment="1">
      <alignment horizontal="right"/>
    </xf>
    <xf numFmtId="0" fontId="98" fillId="0" borderId="0" xfId="72" applyFont="1" applyFill="1" applyBorder="1" applyAlignment="1" applyProtection="1">
      <alignment wrapText="1"/>
      <protection locked="0"/>
    </xf>
    <xf numFmtId="14" fontId="98" fillId="0" borderId="0" xfId="72" applyNumberFormat="1" applyFont="1" applyFill="1" applyBorder="1" applyAlignment="1" applyProtection="1">
      <alignment horizontal="center"/>
      <protection locked="0"/>
    </xf>
    <xf numFmtId="3" fontId="98" fillId="0" borderId="0" xfId="72" applyNumberFormat="1" applyFont="1" applyFill="1" applyBorder="1" applyAlignment="1" applyProtection="1">
      <alignment horizontal="right" wrapText="1"/>
      <protection locked="0"/>
    </xf>
    <xf numFmtId="3" fontId="98" fillId="0" borderId="0" xfId="72" applyNumberFormat="1" applyFont="1" applyFill="1" applyBorder="1" applyAlignment="1" applyProtection="1">
      <protection locked="0"/>
    </xf>
    <xf numFmtId="0" fontId="98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8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8" fillId="0" borderId="0" xfId="0" applyNumberFormat="1" applyFont="1" applyFill="1" applyAlignment="1">
      <alignment horizontal="center"/>
    </xf>
    <xf numFmtId="0" fontId="150" fillId="0" borderId="0" xfId="0" applyFont="1" applyFill="1" applyAlignment="1">
      <alignment horizontal="left"/>
    </xf>
    <xf numFmtId="0" fontId="98" fillId="0" borderId="0" xfId="0" applyFont="1" applyFill="1" applyAlignment="1">
      <alignment horizontal="center"/>
    </xf>
    <xf numFmtId="0" fontId="98" fillId="0" borderId="0" xfId="0" applyFont="1" applyFill="1"/>
    <xf numFmtId="0" fontId="150" fillId="0" borderId="0" xfId="0" applyFont="1" applyFill="1"/>
    <xf numFmtId="0" fontId="150" fillId="0" borderId="0" xfId="0" applyFont="1"/>
    <xf numFmtId="0" fontId="0" fillId="0" borderId="0" xfId="0" applyFont="1" applyFill="1" applyAlignment="1">
      <alignment horizontal="center"/>
    </xf>
    <xf numFmtId="3" fontId="53" fillId="0" borderId="0" xfId="0" applyNumberFormat="1" applyFont="1" applyFill="1"/>
    <xf numFmtId="3" fontId="100" fillId="0" borderId="0" xfId="0" applyNumberFormat="1" applyFont="1" applyFill="1"/>
    <xf numFmtId="0" fontId="98" fillId="0" borderId="14" xfId="0" applyFont="1" applyBorder="1" applyAlignment="1">
      <alignment wrapText="1"/>
    </xf>
    <xf numFmtId="0" fontId="100" fillId="0" borderId="23" xfId="0" applyFont="1" applyBorder="1"/>
    <xf numFmtId="0" fontId="101" fillId="0" borderId="23" xfId="0" applyFont="1" applyBorder="1" applyAlignment="1">
      <alignment horizontal="right"/>
    </xf>
    <xf numFmtId="0" fontId="98" fillId="0" borderId="23" xfId="0" applyFont="1" applyBorder="1" applyAlignment="1">
      <alignment horizontal="right"/>
    </xf>
    <xf numFmtId="0" fontId="100" fillId="0" borderId="23" xfId="0" applyFont="1" applyBorder="1" applyAlignment="1">
      <alignment horizontal="right"/>
    </xf>
    <xf numFmtId="165" fontId="100" fillId="0" borderId="23" xfId="0" applyNumberFormat="1" applyFont="1" applyBorder="1" applyAlignment="1">
      <alignment horizontal="right"/>
    </xf>
    <xf numFmtId="1" fontId="100" fillId="0" borderId="23" xfId="0" applyNumberFormat="1" applyFont="1" applyBorder="1" applyAlignment="1">
      <alignment horizontal="right"/>
    </xf>
    <xf numFmtId="167" fontId="100" fillId="0" borderId="23" xfId="0" applyNumberFormat="1" applyFont="1" applyBorder="1" applyAlignment="1">
      <alignment horizontal="right"/>
    </xf>
    <xf numFmtId="0" fontId="61" fillId="0" borderId="0" xfId="78" applyFont="1" applyBorder="1"/>
    <xf numFmtId="0" fontId="41" fillId="0" borderId="0" xfId="0" applyFont="1" applyBorder="1"/>
    <xf numFmtId="3" fontId="25" fillId="0" borderId="31" xfId="0" applyNumberFormat="1" applyFont="1" applyBorder="1"/>
    <xf numFmtId="1" fontId="48" fillId="24" borderId="11" xfId="0" applyNumberFormat="1" applyFont="1" applyFill="1" applyBorder="1" applyAlignment="1">
      <alignment horizontal="right" vertical="center"/>
    </xf>
    <xf numFmtId="1" fontId="48" fillId="0" borderId="27" xfId="0" applyNumberFormat="1" applyFont="1" applyBorder="1" applyAlignment="1">
      <alignment horizontal="right"/>
    </xf>
    <xf numFmtId="1" fontId="100" fillId="24" borderId="11" xfId="0" applyNumberFormat="1" applyFont="1" applyFill="1" applyBorder="1" applyAlignment="1">
      <alignment horizontal="right" vertical="center"/>
    </xf>
    <xf numFmtId="167" fontId="100" fillId="24" borderId="11" xfId="0" applyNumberFormat="1" applyFont="1" applyFill="1" applyBorder="1" applyAlignment="1">
      <alignment horizontal="right" vertical="center"/>
    </xf>
    <xf numFmtId="0" fontId="109" fillId="0" borderId="31" xfId="0" applyFont="1" applyBorder="1" applyAlignment="1">
      <alignment vertical="center" wrapText="1"/>
    </xf>
    <xf numFmtId="3" fontId="109" fillId="0" borderId="31" xfId="0" applyNumberFormat="1" applyFont="1" applyBorder="1" applyAlignment="1">
      <alignment vertical="center"/>
    </xf>
    <xf numFmtId="3" fontId="30" fillId="0" borderId="31" xfId="0" applyNumberFormat="1" applyFont="1" applyBorder="1"/>
    <xf numFmtId="0" fontId="25" fillId="0" borderId="31" xfId="0" applyFont="1" applyBorder="1"/>
    <xf numFmtId="0" fontId="28" fillId="0" borderId="106" xfId="0" applyFont="1" applyBorder="1" applyAlignment="1">
      <alignment horizontal="center"/>
    </xf>
    <xf numFmtId="0" fontId="30" fillId="0" borderId="31" xfId="0" applyFont="1" applyBorder="1"/>
    <xf numFmtId="0" fontId="132" fillId="0" borderId="0" xfId="71" applyFont="1" applyAlignment="1">
      <alignment vertical="center"/>
    </xf>
    <xf numFmtId="0" fontId="119" fillId="0" borderId="0" xfId="71" applyFont="1" applyAlignment="1">
      <alignment vertical="center"/>
    </xf>
    <xf numFmtId="3" fontId="119" fillId="0" borderId="0" xfId="71" applyNumberFormat="1" applyFont="1" applyAlignment="1">
      <alignment vertical="center"/>
    </xf>
    <xf numFmtId="3" fontId="158" fillId="0" borderId="42" xfId="71" applyNumberFormat="1" applyFont="1" applyFill="1" applyBorder="1" applyAlignment="1">
      <alignment horizontal="center" vertical="center" wrapText="1"/>
    </xf>
    <xf numFmtId="3" fontId="158" fillId="0" borderId="30" xfId="71" applyNumberFormat="1" applyFont="1" applyFill="1" applyBorder="1" applyAlignment="1">
      <alignment horizontal="center" vertical="center" wrapText="1"/>
    </xf>
    <xf numFmtId="3" fontId="158" fillId="0" borderId="43" xfId="71" applyNumberFormat="1" applyFont="1" applyFill="1" applyBorder="1" applyAlignment="1">
      <alignment horizontal="center" vertical="center" wrapText="1"/>
    </xf>
    <xf numFmtId="0" fontId="132" fillId="0" borderId="0" xfId="71" applyFont="1" applyBorder="1" applyAlignment="1">
      <alignment vertical="center"/>
    </xf>
    <xf numFmtId="0" fontId="109" fillId="0" borderId="44" xfId="71" applyFont="1" applyBorder="1" applyAlignment="1">
      <alignment vertical="center"/>
    </xf>
    <xf numFmtId="3" fontId="120" fillId="0" borderId="44" xfId="71" applyNumberFormat="1" applyFont="1" applyFill="1" applyBorder="1" applyAlignment="1">
      <alignment vertical="center"/>
    </xf>
    <xf numFmtId="0" fontId="132" fillId="0" borderId="44" xfId="71" applyFont="1" applyBorder="1" applyAlignment="1">
      <alignment vertical="center"/>
    </xf>
    <xf numFmtId="0" fontId="132" fillId="0" borderId="21" xfId="71" applyFont="1" applyBorder="1" applyAlignment="1">
      <alignment vertical="center"/>
    </xf>
    <xf numFmtId="0" fontId="116" fillId="0" borderId="23" xfId="71" applyFont="1" applyBorder="1" applyAlignment="1">
      <alignment vertical="center"/>
    </xf>
    <xf numFmtId="3" fontId="159" fillId="0" borderId="23" xfId="71" applyNumberFormat="1" applyFont="1" applyBorder="1" applyAlignment="1">
      <alignment vertical="center"/>
    </xf>
    <xf numFmtId="4" fontId="58" fillId="0" borderId="23" xfId="71" applyNumberFormat="1" applyFont="1" applyBorder="1" applyAlignment="1">
      <alignment vertical="center"/>
    </xf>
    <xf numFmtId="3" fontId="132" fillId="0" borderId="0" xfId="71" applyNumberFormat="1" applyFont="1" applyAlignment="1">
      <alignment vertical="center"/>
    </xf>
    <xf numFmtId="3" fontId="159" fillId="0" borderId="23" xfId="71" applyNumberFormat="1" applyFont="1" applyBorder="1" applyAlignment="1">
      <alignment vertical="center" wrapText="1"/>
    </xf>
    <xf numFmtId="3" fontId="35" fillId="0" borderId="23" xfId="71" applyNumberFormat="1" applyFont="1" applyBorder="1" applyAlignment="1">
      <alignment vertical="center" wrapText="1"/>
    </xf>
    <xf numFmtId="3" fontId="31" fillId="0" borderId="23" xfId="71" applyNumberFormat="1" applyFont="1" applyBorder="1" applyAlignment="1">
      <alignment horizontal="right"/>
    </xf>
    <xf numFmtId="0" fontId="154" fillId="0" borderId="21" xfId="70" applyFont="1" applyBorder="1" applyAlignment="1">
      <alignment vertical="center"/>
    </xf>
    <xf numFmtId="0" fontId="132" fillId="0" borderId="21" xfId="71" applyFont="1" applyBorder="1" applyAlignment="1">
      <alignment vertical="center" wrapText="1"/>
    </xf>
    <xf numFmtId="168" fontId="23" fillId="0" borderId="23" xfId="71" applyNumberFormat="1" applyFont="1" applyFill="1" applyBorder="1" applyAlignment="1">
      <alignment vertical="center"/>
    </xf>
    <xf numFmtId="0" fontId="156" fillId="0" borderId="21" xfId="70" applyFont="1" applyBorder="1" applyAlignment="1">
      <alignment vertical="center" wrapText="1"/>
    </xf>
    <xf numFmtId="1" fontId="31" fillId="0" borderId="23" xfId="71" applyNumberFormat="1" applyFont="1" applyBorder="1" applyAlignment="1">
      <alignment vertical="center"/>
    </xf>
    <xf numFmtId="0" fontId="154" fillId="0" borderId="21" xfId="70" applyFont="1" applyBorder="1" applyAlignment="1">
      <alignment vertical="center" wrapText="1"/>
    </xf>
    <xf numFmtId="0" fontId="161" fillId="0" borderId="21" xfId="71" applyFont="1" applyBorder="1" applyAlignment="1">
      <alignment vertical="center" wrapText="1"/>
    </xf>
    <xf numFmtId="0" fontId="72" fillId="0" borderId="23" xfId="75" applyFont="1" applyBorder="1" applyAlignment="1">
      <alignment vertical="center"/>
    </xf>
    <xf numFmtId="165" fontId="119" fillId="0" borderId="23" xfId="71" applyNumberFormat="1" applyFont="1" applyBorder="1" applyAlignment="1">
      <alignment vertical="center"/>
    </xf>
    <xf numFmtId="0" fontId="129" fillId="0" borderId="23" xfId="71" applyFont="1" applyBorder="1" applyAlignment="1">
      <alignment vertical="center" wrapText="1"/>
    </xf>
    <xf numFmtId="0" fontId="162" fillId="0" borderId="0" xfId="71" applyFont="1" applyAlignment="1">
      <alignment vertical="center"/>
    </xf>
    <xf numFmtId="9" fontId="120" fillId="0" borderId="24" xfId="71" applyNumberFormat="1" applyFont="1" applyFill="1" applyBorder="1" applyAlignment="1">
      <alignment vertical="center"/>
    </xf>
    <xf numFmtId="0" fontId="129" fillId="0" borderId="24" xfId="71" applyFont="1" applyBorder="1" applyAlignment="1">
      <alignment vertical="center" wrapText="1"/>
    </xf>
    <xf numFmtId="3" fontId="109" fillId="0" borderId="57" xfId="71" applyNumberFormat="1" applyFont="1" applyFill="1" applyBorder="1" applyAlignment="1">
      <alignment vertical="center"/>
    </xf>
    <xf numFmtId="3" fontId="109" fillId="0" borderId="69" xfId="71" applyNumberFormat="1" applyFont="1" applyFill="1" applyBorder="1" applyAlignment="1">
      <alignment vertical="center"/>
    </xf>
    <xf numFmtId="3" fontId="109" fillId="0" borderId="31" xfId="71" applyNumberFormat="1" applyFont="1" applyFill="1" applyBorder="1" applyAlignment="1">
      <alignment vertical="center"/>
    </xf>
    <xf numFmtId="0" fontId="33" fillId="0" borderId="0" xfId="0" applyFont="1" applyAlignment="1">
      <alignment wrapText="1"/>
    </xf>
    <xf numFmtId="3" fontId="163" fillId="0" borderId="0" xfId="71" applyNumberFormat="1" applyFont="1" applyAlignment="1">
      <alignment vertical="center"/>
    </xf>
    <xf numFmtId="3" fontId="163" fillId="0" borderId="0" xfId="71" applyNumberFormat="1" applyFont="1" applyBorder="1" applyAlignment="1">
      <alignment vertical="center"/>
    </xf>
    <xf numFmtId="3" fontId="44" fillId="0" borderId="31" xfId="0" applyNumberFormat="1" applyFont="1" applyBorder="1" applyAlignment="1">
      <alignment vertical="center"/>
    </xf>
    <xf numFmtId="1" fontId="35" fillId="0" borderId="0" xfId="78" applyNumberFormat="1" applyFont="1"/>
    <xf numFmtId="0" fontId="53" fillId="0" borderId="23" xfId="77" applyFont="1" applyBorder="1" applyAlignment="1">
      <alignment horizontal="center"/>
    </xf>
    <xf numFmtId="0" fontId="98" fillId="0" borderId="11" xfId="0" applyFont="1" applyBorder="1" applyAlignment="1">
      <alignment wrapText="1"/>
    </xf>
    <xf numFmtId="0" fontId="98" fillId="0" borderId="11" xfId="0" applyFont="1" applyBorder="1"/>
    <xf numFmtId="0" fontId="98" fillId="0" borderId="11" xfId="0" applyFont="1" applyBorder="1" applyAlignment="1">
      <alignment horizontal="right" vertical="center"/>
    </xf>
    <xf numFmtId="0" fontId="100" fillId="0" borderId="11" xfId="0" applyFont="1" applyBorder="1" applyAlignment="1">
      <alignment horizontal="right" vertical="center"/>
    </xf>
    <xf numFmtId="165" fontId="100" fillId="0" borderId="11" xfId="0" applyNumberFormat="1" applyFont="1" applyBorder="1" applyAlignment="1">
      <alignment horizontal="right"/>
    </xf>
    <xf numFmtId="1" fontId="48" fillId="0" borderId="11" xfId="0" applyNumberFormat="1" applyFont="1" applyBorder="1"/>
    <xf numFmtId="166" fontId="35" fillId="0" borderId="11" xfId="0" applyNumberFormat="1" applyFont="1" applyBorder="1" applyAlignment="1">
      <alignment horizontal="center" vertical="center"/>
    </xf>
    <xf numFmtId="0" fontId="98" fillId="0" borderId="0" xfId="73" applyFont="1" applyAlignment="1">
      <alignment wrapText="1"/>
    </xf>
    <xf numFmtId="3" fontId="28" fillId="0" borderId="59" xfId="78" applyNumberFormat="1" applyFont="1" applyBorder="1"/>
    <xf numFmtId="3" fontId="69" fillId="0" borderId="23" xfId="0" applyNumberFormat="1" applyFont="1" applyBorder="1" applyAlignment="1">
      <alignment horizontal="center" vertical="center" wrapText="1"/>
    </xf>
    <xf numFmtId="0" fontId="25" fillId="0" borderId="51" xfId="0" applyFont="1" applyBorder="1" applyAlignment="1">
      <alignment horizontal="center" vertical="center"/>
    </xf>
    <xf numFmtId="3" fontId="69" fillId="0" borderId="47" xfId="0" applyNumberFormat="1" applyFont="1" applyBorder="1" applyAlignment="1">
      <alignment horizontal="center" vertical="center" wrapText="1"/>
    </xf>
    <xf numFmtId="3" fontId="69" fillId="0" borderId="39" xfId="0" applyNumberFormat="1" applyFont="1" applyBorder="1" applyAlignment="1">
      <alignment horizontal="center" vertical="center" wrapText="1"/>
    </xf>
    <xf numFmtId="3" fontId="25" fillId="0" borderId="20" xfId="0" applyNumberFormat="1" applyFont="1" applyBorder="1" applyAlignment="1">
      <alignment horizontal="center" vertical="center"/>
    </xf>
    <xf numFmtId="3" fontId="69" fillId="0" borderId="24" xfId="0" applyNumberFormat="1" applyFont="1" applyBorder="1" applyAlignment="1">
      <alignment horizontal="center" vertical="center" wrapText="1"/>
    </xf>
    <xf numFmtId="0" fontId="64" fillId="0" borderId="23" xfId="0" applyFont="1" applyBorder="1"/>
    <xf numFmtId="3" fontId="25" fillId="0" borderId="23" xfId="0" applyNumberFormat="1" applyFont="1" applyBorder="1"/>
    <xf numFmtId="3" fontId="64" fillId="0" borderId="23" xfId="0" applyNumberFormat="1" applyFont="1" applyBorder="1"/>
    <xf numFmtId="3" fontId="28" fillId="0" borderId="23" xfId="0" applyNumberFormat="1" applyFont="1" applyBorder="1"/>
    <xf numFmtId="0" fontId="28" fillId="0" borderId="23" xfId="0" applyFont="1" applyBorder="1"/>
    <xf numFmtId="0" fontId="35" fillId="0" borderId="23" xfId="0" applyFont="1" applyBorder="1"/>
    <xf numFmtId="0" fontId="57" fillId="0" borderId="23" xfId="0" applyFont="1" applyBorder="1"/>
    <xf numFmtId="3" fontId="58" fillId="0" borderId="23" xfId="0" applyNumberFormat="1" applyFont="1" applyBorder="1"/>
    <xf numFmtId="3" fontId="58" fillId="0" borderId="23" xfId="74" applyNumberFormat="1" applyFont="1" applyBorder="1"/>
    <xf numFmtId="16" fontId="57" fillId="0" borderId="23" xfId="0" applyNumberFormat="1" applyFont="1" applyBorder="1"/>
    <xf numFmtId="3" fontId="35" fillId="0" borderId="23" xfId="0" applyNumberFormat="1" applyFont="1" applyBorder="1"/>
    <xf numFmtId="3" fontId="57" fillId="0" borderId="23" xfId="0" applyNumberFormat="1" applyFont="1" applyBorder="1"/>
    <xf numFmtId="0" fontId="38" fillId="0" borderId="23" xfId="0" applyFont="1" applyBorder="1"/>
    <xf numFmtId="0" fontId="66" fillId="0" borderId="23" xfId="0" applyFont="1" applyBorder="1"/>
    <xf numFmtId="3" fontId="139" fillId="0" borderId="23" xfId="0" applyNumberFormat="1" applyFont="1" applyBorder="1"/>
    <xf numFmtId="3" fontId="39" fillId="0" borderId="23" xfId="0" applyNumberFormat="1" applyFont="1" applyBorder="1"/>
    <xf numFmtId="3" fontId="59" fillId="0" borderId="23" xfId="0" applyNumberFormat="1" applyFont="1" applyBorder="1"/>
    <xf numFmtId="3" fontId="30" fillId="0" borderId="23" xfId="0" applyNumberFormat="1" applyFont="1" applyBorder="1"/>
    <xf numFmtId="0" fontId="34" fillId="0" borderId="23" xfId="0" applyFont="1" applyBorder="1"/>
    <xf numFmtId="0" fontId="25" fillId="0" borderId="23" xfId="0" applyFont="1" applyBorder="1"/>
    <xf numFmtId="0" fontId="30" fillId="0" borderId="23" xfId="0" applyFont="1" applyBorder="1"/>
    <xf numFmtId="0" fontId="25" fillId="0" borderId="23" xfId="0" applyFont="1" applyBorder="1" applyAlignment="1">
      <alignment wrapText="1"/>
    </xf>
    <xf numFmtId="3" fontId="57" fillId="0" borderId="23" xfId="0" applyNumberFormat="1" applyFont="1" applyBorder="1" applyAlignment="1">
      <alignment wrapText="1"/>
    </xf>
    <xf numFmtId="3" fontId="58" fillId="0" borderId="23" xfId="0" applyNumberFormat="1" applyFont="1" applyBorder="1" applyAlignment="1">
      <alignment wrapText="1"/>
    </xf>
    <xf numFmtId="3" fontId="58" fillId="0" borderId="23" xfId="0" applyNumberFormat="1" applyFont="1" applyBorder="1" applyAlignment="1">
      <alignment vertical="center"/>
    </xf>
    <xf numFmtId="3" fontId="59" fillId="0" borderId="23" xfId="0" applyNumberFormat="1" applyFont="1" applyBorder="1" applyAlignment="1">
      <alignment wrapText="1"/>
    </xf>
    <xf numFmtId="0" fontId="25" fillId="0" borderId="24" xfId="0" applyFont="1" applyBorder="1"/>
    <xf numFmtId="3" fontId="59" fillId="0" borderId="24" xfId="0" applyNumberFormat="1" applyFont="1" applyBorder="1"/>
    <xf numFmtId="3" fontId="30" fillId="0" borderId="24" xfId="0" applyNumberFormat="1" applyFont="1" applyBorder="1"/>
    <xf numFmtId="0" fontId="28" fillId="0" borderId="24" xfId="0" applyFont="1" applyBorder="1"/>
    <xf numFmtId="0" fontId="35" fillId="0" borderId="24" xfId="0" applyFont="1" applyBorder="1"/>
    <xf numFmtId="3" fontId="30" fillId="0" borderId="31" xfId="0" applyNumberFormat="1" applyFont="1" applyFill="1" applyBorder="1"/>
    <xf numFmtId="0" fontId="28" fillId="0" borderId="31" xfId="0" applyFont="1" applyBorder="1"/>
    <xf numFmtId="0" fontId="35" fillId="0" borderId="55" xfId="0" applyFont="1" applyBorder="1"/>
    <xf numFmtId="0" fontId="30" fillId="0" borderId="47" xfId="0" applyFont="1" applyBorder="1" applyAlignment="1">
      <alignment horizontal="center" vertical="center"/>
    </xf>
    <xf numFmtId="3" fontId="93" fillId="0" borderId="47" xfId="0" applyNumberFormat="1" applyFont="1" applyBorder="1" applyAlignment="1">
      <alignment horizontal="center" vertical="center" wrapText="1"/>
    </xf>
    <xf numFmtId="3" fontId="93" fillId="0" borderId="39" xfId="0" applyNumberFormat="1" applyFont="1" applyBorder="1" applyAlignment="1">
      <alignment horizontal="center" vertical="center" wrapText="1"/>
    </xf>
    <xf numFmtId="3" fontId="30" fillId="0" borderId="81" xfId="0" applyNumberFormat="1" applyFont="1" applyBorder="1" applyAlignment="1">
      <alignment horizontal="center" vertical="center"/>
    </xf>
    <xf numFmtId="0" fontId="35" fillId="0" borderId="23" xfId="0" applyFont="1" applyBorder="1" applyAlignment="1">
      <alignment horizontal="center"/>
    </xf>
    <xf numFmtId="0" fontId="59" fillId="0" borderId="23" xfId="0" applyFont="1" applyBorder="1"/>
    <xf numFmtId="0" fontId="58" fillId="0" borderId="23" xfId="0" applyFont="1" applyBorder="1"/>
    <xf numFmtId="0" fontId="137" fillId="0" borderId="23" xfId="0" applyFont="1" applyBorder="1"/>
    <xf numFmtId="0" fontId="39" fillId="0" borderId="23" xfId="0" applyFont="1" applyBorder="1"/>
    <xf numFmtId="3" fontId="137" fillId="0" borderId="23" xfId="74" applyNumberFormat="1" applyFont="1" applyBorder="1"/>
    <xf numFmtId="0" fontId="35" fillId="0" borderId="23" xfId="0" applyFont="1" applyBorder="1" applyAlignment="1">
      <alignment horizontal="center" vertical="center"/>
    </xf>
    <xf numFmtId="0" fontId="58" fillId="0" borderId="23" xfId="0" applyFont="1" applyBorder="1" applyAlignment="1">
      <alignment vertical="center" wrapText="1"/>
    </xf>
    <xf numFmtId="3" fontId="58" fillId="0" borderId="23" xfId="74" applyNumberFormat="1" applyFont="1" applyBorder="1" applyAlignment="1">
      <alignment vertical="center"/>
    </xf>
    <xf numFmtId="0" fontId="30" fillId="0" borderId="23" xfId="0" applyFont="1" applyBorder="1" applyAlignment="1">
      <alignment wrapText="1"/>
    </xf>
    <xf numFmtId="0" fontId="58" fillId="0" borderId="23" xfId="0" applyFont="1" applyBorder="1" applyAlignment="1">
      <alignment wrapText="1"/>
    </xf>
    <xf numFmtId="0" fontId="35" fillId="0" borderId="23" xfId="0" applyFont="1" applyBorder="1" applyAlignment="1">
      <alignment wrapText="1"/>
    </xf>
    <xf numFmtId="3" fontId="58" fillId="0" borderId="23" xfId="0" applyNumberFormat="1" applyFont="1" applyFill="1" applyBorder="1"/>
    <xf numFmtId="3" fontId="59" fillId="0" borderId="23" xfId="0" applyNumberFormat="1" applyFont="1" applyFill="1" applyBorder="1"/>
    <xf numFmtId="3" fontId="66" fillId="0" borderId="23" xfId="0" applyNumberFormat="1" applyFont="1" applyBorder="1"/>
    <xf numFmtId="0" fontId="35" fillId="0" borderId="24" xfId="0" applyFont="1" applyBorder="1" applyAlignment="1">
      <alignment horizontal="center" vertical="center"/>
    </xf>
    <xf numFmtId="0" fontId="30" fillId="0" borderId="24" xfId="0" applyFont="1" applyBorder="1"/>
    <xf numFmtId="0" fontId="35" fillId="0" borderId="106" xfId="0" applyFont="1" applyBorder="1" applyAlignment="1">
      <alignment horizontal="center" vertical="center"/>
    </xf>
    <xf numFmtId="0" fontId="28" fillId="0" borderId="55" xfId="0" applyFont="1" applyBorder="1"/>
    <xf numFmtId="3" fontId="74" fillId="0" borderId="107" xfId="0" applyNumberFormat="1" applyFont="1" applyBorder="1" applyAlignment="1">
      <alignment horizontal="center" vertical="center"/>
    </xf>
    <xf numFmtId="0" fontId="28" fillId="0" borderId="23" xfId="0" applyFont="1" applyBorder="1" applyAlignment="1">
      <alignment horizontal="center"/>
    </xf>
    <xf numFmtId="3" fontId="57" fillId="0" borderId="23" xfId="74" applyNumberFormat="1" applyFont="1" applyBorder="1"/>
    <xf numFmtId="3" fontId="68" fillId="0" borderId="23" xfId="0" applyNumberFormat="1" applyFont="1" applyBorder="1"/>
    <xf numFmtId="3" fontId="38" fillId="0" borderId="23" xfId="0" applyNumberFormat="1" applyFont="1" applyBorder="1"/>
    <xf numFmtId="0" fontId="68" fillId="0" borderId="23" xfId="0" applyFont="1" applyBorder="1"/>
    <xf numFmtId="3" fontId="34" fillId="0" borderId="23" xfId="0" applyNumberFormat="1" applyFont="1" applyBorder="1"/>
    <xf numFmtId="3" fontId="25" fillId="0" borderId="23" xfId="0" applyNumberFormat="1" applyFont="1" applyFill="1" applyBorder="1"/>
    <xf numFmtId="0" fontId="57" fillId="0" borderId="23" xfId="0" applyFont="1" applyBorder="1" applyAlignment="1">
      <alignment wrapText="1"/>
    </xf>
    <xf numFmtId="3" fontId="64" fillId="0" borderId="23" xfId="0" applyNumberFormat="1" applyFont="1" applyBorder="1" applyAlignment="1">
      <alignment wrapText="1"/>
    </xf>
    <xf numFmtId="0" fontId="28" fillId="0" borderId="24" xfId="0" applyFont="1" applyBorder="1" applyAlignment="1">
      <alignment horizontal="center"/>
    </xf>
    <xf numFmtId="3" fontId="64" fillId="0" borderId="24" xfId="0" applyNumberFormat="1" applyFont="1" applyBorder="1"/>
    <xf numFmtId="3" fontId="25" fillId="0" borderId="24" xfId="0" applyNumberFormat="1" applyFont="1" applyBorder="1"/>
    <xf numFmtId="3" fontId="25" fillId="0" borderId="31" xfId="0" applyNumberFormat="1" applyFont="1" applyFill="1" applyBorder="1"/>
    <xf numFmtId="0" fontId="29" fillId="0" borderId="47" xfId="0" applyFont="1" applyBorder="1" applyAlignment="1">
      <alignment horizontal="center" vertical="center" wrapText="1"/>
    </xf>
    <xf numFmtId="3" fontId="29" fillId="0" borderId="47" xfId="0" applyNumberFormat="1" applyFont="1" applyBorder="1" applyAlignment="1">
      <alignment horizontal="center" vertical="center" wrapText="1"/>
    </xf>
    <xf numFmtId="0" fontId="81" fillId="0" borderId="23" xfId="0" applyFont="1" applyBorder="1"/>
    <xf numFmtId="0" fontId="24" fillId="0" borderId="23" xfId="0" applyFont="1" applyBorder="1"/>
    <xf numFmtId="0" fontId="22" fillId="0" borderId="23" xfId="0" applyFont="1" applyBorder="1"/>
    <xf numFmtId="3" fontId="22" fillId="0" borderId="23" xfId="0" applyNumberFormat="1" applyFont="1" applyBorder="1"/>
    <xf numFmtId="0" fontId="23" fillId="0" borderId="23" xfId="0" applyFont="1" applyBorder="1"/>
    <xf numFmtId="0" fontId="22" fillId="0" borderId="23" xfId="0" applyFont="1" applyBorder="1" applyAlignment="1">
      <alignment vertical="center"/>
    </xf>
    <xf numFmtId="0" fontId="22" fillId="0" borderId="23" xfId="0" applyFont="1" applyFill="1" applyBorder="1" applyAlignment="1">
      <alignment vertical="center" wrapText="1"/>
    </xf>
    <xf numFmtId="3" fontId="23" fillId="0" borderId="23" xfId="0" applyNumberFormat="1" applyFont="1" applyBorder="1" applyAlignment="1">
      <alignment vertical="center"/>
    </xf>
    <xf numFmtId="0" fontId="120" fillId="0" borderId="23" xfId="0" applyFont="1" applyBorder="1"/>
    <xf numFmtId="9" fontId="22" fillId="0" borderId="23" xfId="0" applyNumberFormat="1" applyFont="1" applyBorder="1" applyAlignment="1">
      <alignment horizontal="left" vertical="center"/>
    </xf>
    <xf numFmtId="0" fontId="24" fillId="0" borderId="23" xfId="0" applyFont="1" applyBorder="1" applyAlignment="1">
      <alignment vertical="center"/>
    </xf>
    <xf numFmtId="3" fontId="26" fillId="0" borderId="23" xfId="0" applyNumberFormat="1" applyFont="1" applyBorder="1" applyAlignment="1">
      <alignment vertical="center"/>
    </xf>
    <xf numFmtId="9" fontId="22" fillId="0" borderId="23" xfId="0" applyNumberFormat="1" applyFont="1" applyBorder="1" applyAlignment="1">
      <alignment horizontal="left"/>
    </xf>
    <xf numFmtId="3" fontId="23" fillId="0" borderId="23" xfId="0" applyNumberFormat="1" applyFont="1" applyBorder="1"/>
    <xf numFmtId="0" fontId="108" fillId="0" borderId="23" xfId="0" applyFont="1" applyFill="1" applyBorder="1"/>
    <xf numFmtId="10" fontId="23" fillId="0" borderId="23" xfId="0" applyNumberFormat="1" applyFont="1" applyFill="1" applyBorder="1" applyAlignment="1">
      <alignment horizontal="left"/>
    </xf>
    <xf numFmtId="3" fontId="26" fillId="0" borderId="23" xfId="0" applyNumberFormat="1" applyFont="1" applyBorder="1"/>
    <xf numFmtId="0" fontId="83" fillId="0" borderId="23" xfId="0" applyFont="1" applyBorder="1"/>
    <xf numFmtId="10" fontId="22" fillId="0" borderId="23" xfId="0" applyNumberFormat="1" applyFont="1" applyBorder="1"/>
    <xf numFmtId="0" fontId="22" fillId="0" borderId="23" xfId="0" applyFont="1" applyBorder="1" applyAlignment="1">
      <alignment vertical="top"/>
    </xf>
    <xf numFmtId="10" fontId="22" fillId="0" borderId="23" xfId="0" applyNumberFormat="1" applyFont="1" applyBorder="1" applyAlignment="1">
      <alignment wrapText="1"/>
    </xf>
    <xf numFmtId="10" fontId="23" fillId="0" borderId="23" xfId="0" applyNumberFormat="1" applyFont="1" applyBorder="1"/>
    <xf numFmtId="0" fontId="24" fillId="0" borderId="24" xfId="0" applyFont="1" applyBorder="1"/>
    <xf numFmtId="10" fontId="22" fillId="0" borderId="24" xfId="0" applyNumberFormat="1" applyFont="1" applyBorder="1"/>
    <xf numFmtId="3" fontId="23" fillId="0" borderId="24" xfId="0" applyNumberFormat="1" applyFont="1" applyBorder="1"/>
    <xf numFmtId="0" fontId="23" fillId="0" borderId="24" xfId="0" applyFont="1" applyBorder="1"/>
    <xf numFmtId="0" fontId="24" fillId="0" borderId="106" xfId="0" applyFont="1" applyBorder="1"/>
    <xf numFmtId="0" fontId="22" fillId="0" borderId="31" xfId="0" applyFont="1" applyBorder="1"/>
    <xf numFmtId="3" fontId="26" fillId="0" borderId="31" xfId="0" applyNumberFormat="1" applyFont="1" applyFill="1" applyBorder="1"/>
    <xf numFmtId="0" fontId="23" fillId="0" borderId="31" xfId="0" applyFont="1" applyBorder="1"/>
    <xf numFmtId="0" fontId="23" fillId="0" borderId="55" xfId="0" applyFont="1" applyBorder="1"/>
    <xf numFmtId="0" fontId="25" fillId="0" borderId="23" xfId="0" applyFont="1" applyBorder="1" applyAlignment="1">
      <alignment horizontal="left" vertical="center"/>
    </xf>
    <xf numFmtId="0" fontId="36" fillId="0" borderId="23" xfId="0" applyFont="1" applyBorder="1"/>
    <xf numFmtId="0" fontId="34" fillId="0" borderId="23" xfId="0" applyFont="1" applyBorder="1" applyAlignment="1">
      <alignment horizontal="left" vertical="center"/>
    </xf>
    <xf numFmtId="3" fontId="28" fillId="25" borderId="23" xfId="0" applyNumberFormat="1" applyFont="1" applyFill="1" applyBorder="1"/>
    <xf numFmtId="0" fontId="28" fillId="0" borderId="23" xfId="0" applyFont="1" applyBorder="1" applyAlignment="1">
      <alignment horizontal="left" vertical="center"/>
    </xf>
    <xf numFmtId="0" fontId="33" fillId="0" borderId="23" xfId="0" applyFont="1" applyBorder="1"/>
    <xf numFmtId="0" fontId="28" fillId="0" borderId="23" xfId="0" applyFont="1" applyBorder="1" applyAlignment="1">
      <alignment horizontal="left" vertical="center" wrapText="1"/>
    </xf>
    <xf numFmtId="3" fontId="28" fillId="0" borderId="23" xfId="0" applyNumberFormat="1" applyFont="1" applyBorder="1" applyAlignment="1">
      <alignment vertical="center" wrapText="1"/>
    </xf>
    <xf numFmtId="0" fontId="33" fillId="0" borderId="23" xfId="0" applyFont="1" applyBorder="1" applyAlignment="1">
      <alignment wrapText="1"/>
    </xf>
    <xf numFmtId="0" fontId="28" fillId="0" borderId="23" xfId="0" applyFont="1" applyBorder="1" applyAlignment="1">
      <alignment wrapText="1"/>
    </xf>
    <xf numFmtId="0" fontId="77" fillId="0" borderId="23" xfId="0" applyFont="1" applyBorder="1"/>
    <xf numFmtId="0" fontId="156" fillId="0" borderId="23" xfId="0" applyFont="1" applyBorder="1"/>
    <xf numFmtId="0" fontId="28" fillId="0" borderId="44" xfId="0" applyFont="1" applyBorder="1" applyAlignment="1">
      <alignment horizontal="center"/>
    </xf>
    <xf numFmtId="0" fontId="34" fillId="0" borderId="44" xfId="0" applyFont="1" applyBorder="1" applyAlignment="1">
      <alignment horizontal="left" vertical="center"/>
    </xf>
    <xf numFmtId="3" fontId="28" fillId="25" borderId="44" xfId="0" applyNumberFormat="1" applyFont="1" applyFill="1" applyBorder="1"/>
    <xf numFmtId="0" fontId="36" fillId="0" borderId="44" xfId="0" applyFont="1" applyBorder="1"/>
    <xf numFmtId="0" fontId="25" fillId="0" borderId="31" xfId="0" applyFont="1" applyBorder="1" applyAlignment="1">
      <alignment horizontal="left" vertical="center"/>
    </xf>
    <xf numFmtId="0" fontId="36" fillId="0" borderId="31" xfId="0" applyFont="1" applyBorder="1"/>
    <xf numFmtId="0" fontId="36" fillId="0" borderId="55" xfId="0" applyFont="1" applyBorder="1"/>
    <xf numFmtId="0" fontId="25" fillId="0" borderId="24" xfId="0" applyFont="1" applyBorder="1" applyAlignment="1">
      <alignment horizontal="left" vertical="center"/>
    </xf>
    <xf numFmtId="0" fontId="36" fillId="0" borderId="24" xfId="0" applyFont="1" applyBorder="1"/>
    <xf numFmtId="3" fontId="30" fillId="0" borderId="44" xfId="0" applyNumberFormat="1" applyFont="1" applyBorder="1"/>
    <xf numFmtId="0" fontId="28" fillId="0" borderId="76" xfId="0" applyFont="1" applyBorder="1" applyAlignment="1">
      <alignment horizontal="center"/>
    </xf>
    <xf numFmtId="0" fontId="28" fillId="0" borderId="44" xfId="0" applyFont="1" applyBorder="1" applyAlignment="1">
      <alignment horizontal="left" vertical="center"/>
    </xf>
    <xf numFmtId="3" fontId="28" fillId="0" borderId="44" xfId="0" applyNumberFormat="1" applyFont="1" applyBorder="1"/>
    <xf numFmtId="0" fontId="33" fillId="0" borderId="44" xfId="0" applyFont="1" applyBorder="1"/>
    <xf numFmtId="0" fontId="25" fillId="0" borderId="106" xfId="0" applyFont="1" applyBorder="1" applyAlignment="1">
      <alignment horizontal="left" vertical="center"/>
    </xf>
    <xf numFmtId="3" fontId="35" fillId="0" borderId="24" xfId="0" applyNumberFormat="1" applyFont="1" applyBorder="1"/>
    <xf numFmtId="0" fontId="33" fillId="0" borderId="24" xfId="0" applyFont="1" applyBorder="1"/>
    <xf numFmtId="0" fontId="25" fillId="0" borderId="44" xfId="0" applyFont="1" applyBorder="1"/>
    <xf numFmtId="3" fontId="25" fillId="0" borderId="44" xfId="0" applyNumberFormat="1" applyFont="1" applyBorder="1"/>
    <xf numFmtId="0" fontId="33" fillId="0" borderId="31" xfId="0" applyFont="1" applyBorder="1"/>
    <xf numFmtId="0" fontId="33" fillId="0" borderId="55" xfId="0" applyFont="1" applyBorder="1"/>
    <xf numFmtId="0" fontId="25" fillId="0" borderId="31" xfId="0" applyFont="1" applyBorder="1" applyAlignment="1">
      <alignment horizontal="left"/>
    </xf>
    <xf numFmtId="3" fontId="28" fillId="0" borderId="24" xfId="0" applyNumberFormat="1" applyFont="1" applyBorder="1"/>
    <xf numFmtId="0" fontId="35" fillId="0" borderId="31" xfId="0" applyFont="1" applyBorder="1"/>
    <xf numFmtId="3" fontId="64" fillId="0" borderId="73" xfId="0" applyNumberFormat="1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/>
    </xf>
    <xf numFmtId="0" fontId="79" fillId="0" borderId="23" xfId="0" applyFont="1" applyBorder="1" applyAlignment="1">
      <alignment horizontal="left" vertical="center" wrapText="1"/>
    </xf>
    <xf numFmtId="0" fontId="25" fillId="0" borderId="23" xfId="0" applyFont="1" applyBorder="1" applyAlignment="1">
      <alignment horizontal="left" wrapText="1"/>
    </xf>
    <xf numFmtId="0" fontId="80" fillId="0" borderId="23" xfId="0" applyFont="1" applyBorder="1" applyAlignment="1">
      <alignment horizontal="left" wrapText="1"/>
    </xf>
    <xf numFmtId="0" fontId="28" fillId="0" borderId="23" xfId="0" applyFont="1" applyBorder="1" applyAlignment="1">
      <alignment horizontal="left" wrapText="1"/>
    </xf>
    <xf numFmtId="0" fontId="62" fillId="0" borderId="23" xfId="0" applyFont="1" applyBorder="1" applyAlignment="1">
      <alignment wrapText="1"/>
    </xf>
    <xf numFmtId="0" fontId="80" fillId="0" borderId="23" xfId="0" applyFont="1" applyBorder="1" applyAlignment="1">
      <alignment wrapText="1"/>
    </xf>
    <xf numFmtId="3" fontId="80" fillId="0" borderId="23" xfId="0" applyNumberFormat="1" applyFont="1" applyBorder="1" applyAlignment="1">
      <alignment wrapText="1"/>
    </xf>
    <xf numFmtId="0" fontId="34" fillId="0" borderId="41" xfId="0" applyFont="1" applyBorder="1" applyAlignment="1">
      <alignment horizontal="center" vertical="center"/>
    </xf>
    <xf numFmtId="0" fontId="28" fillId="0" borderId="24" xfId="0" applyFont="1" applyBorder="1" applyAlignment="1">
      <alignment wrapText="1"/>
    </xf>
    <xf numFmtId="0" fontId="34" fillId="0" borderId="24" xfId="0" applyFont="1" applyBorder="1"/>
    <xf numFmtId="0" fontId="39" fillId="0" borderId="24" xfId="0" applyFont="1" applyBorder="1"/>
    <xf numFmtId="0" fontId="25" fillId="0" borderId="44" xfId="0" applyFont="1" applyBorder="1" applyAlignment="1">
      <alignment wrapText="1"/>
    </xf>
    <xf numFmtId="0" fontId="34" fillId="0" borderId="44" xfId="0" applyFont="1" applyBorder="1"/>
    <xf numFmtId="0" fontId="39" fillId="0" borderId="44" xfId="0" applyFont="1" applyBorder="1"/>
    <xf numFmtId="0" fontId="25" fillId="0" borderId="106" xfId="0" applyFont="1" applyBorder="1" applyAlignment="1">
      <alignment wrapText="1"/>
    </xf>
    <xf numFmtId="0" fontId="34" fillId="0" borderId="31" xfId="0" applyFont="1" applyBorder="1"/>
    <xf numFmtId="0" fontId="39" fillId="0" borderId="31" xfId="0" applyFont="1" applyBorder="1"/>
    <xf numFmtId="0" fontId="39" fillId="0" borderId="55" xfId="0" applyFont="1" applyBorder="1"/>
    <xf numFmtId="0" fontId="34" fillId="0" borderId="44" xfId="0" applyFont="1" applyBorder="1" applyAlignment="1">
      <alignment wrapText="1"/>
    </xf>
    <xf numFmtId="3" fontId="34" fillId="0" borderId="44" xfId="0" applyNumberFormat="1" applyFont="1" applyBorder="1"/>
    <xf numFmtId="0" fontId="34" fillId="0" borderId="24" xfId="0" applyFont="1" applyBorder="1" applyAlignment="1">
      <alignment horizontal="center" vertical="center"/>
    </xf>
    <xf numFmtId="3" fontId="28" fillId="0" borderId="24" xfId="0" applyNumberFormat="1" applyFont="1" applyBorder="1" applyAlignment="1">
      <alignment wrapText="1"/>
    </xf>
    <xf numFmtId="0" fontId="34" fillId="0" borderId="44" xfId="0" applyFont="1" applyBorder="1" applyAlignment="1">
      <alignment horizontal="center" vertical="center"/>
    </xf>
    <xf numFmtId="0" fontId="28" fillId="0" borderId="44" xfId="0" applyFont="1" applyBorder="1"/>
    <xf numFmtId="0" fontId="35" fillId="0" borderId="44" xfId="0" applyFont="1" applyBorder="1"/>
    <xf numFmtId="0" fontId="34" fillId="0" borderId="106" xfId="0" applyFont="1" applyBorder="1" applyAlignment="1">
      <alignment horizontal="center" vertical="center"/>
    </xf>
    <xf numFmtId="0" fontId="25" fillId="0" borderId="31" xfId="0" applyFont="1" applyBorder="1" applyAlignment="1">
      <alignment wrapText="1"/>
    </xf>
    <xf numFmtId="3" fontId="34" fillId="0" borderId="31" xfId="0" applyNumberFormat="1" applyFont="1" applyBorder="1"/>
    <xf numFmtId="0" fontId="34" fillId="0" borderId="25" xfId="0" applyFont="1" applyBorder="1" applyAlignment="1">
      <alignment horizontal="center" vertical="center"/>
    </xf>
    <xf numFmtId="0" fontId="25" fillId="0" borderId="25" xfId="0" applyFont="1" applyBorder="1" applyAlignment="1">
      <alignment wrapText="1"/>
    </xf>
    <xf numFmtId="0" fontId="34" fillId="0" borderId="25" xfId="0" applyFont="1" applyBorder="1"/>
    <xf numFmtId="0" fontId="39" fillId="0" borderId="25" xfId="0" applyFont="1" applyBorder="1"/>
    <xf numFmtId="0" fontId="25" fillId="0" borderId="24" xfId="0" applyFont="1" applyBorder="1" applyAlignment="1">
      <alignment wrapText="1"/>
    </xf>
    <xf numFmtId="3" fontId="28" fillId="0" borderId="31" xfId="0" applyNumberFormat="1" applyFont="1" applyBorder="1"/>
    <xf numFmtId="0" fontId="28" fillId="0" borderId="25" xfId="0" applyFont="1" applyBorder="1" applyAlignment="1">
      <alignment wrapText="1"/>
    </xf>
    <xf numFmtId="0" fontId="28" fillId="0" borderId="25" xfId="0" applyFont="1" applyBorder="1"/>
    <xf numFmtId="3" fontId="28" fillId="0" borderId="25" xfId="0" applyNumberFormat="1" applyFont="1" applyBorder="1"/>
    <xf numFmtId="0" fontId="35" fillId="0" borderId="25" xfId="0" applyFont="1" applyBorder="1"/>
    <xf numFmtId="3" fontId="109" fillId="0" borderId="24" xfId="0" applyNumberFormat="1" applyFont="1" applyBorder="1" applyAlignment="1">
      <alignment horizontal="center" vertical="center" wrapText="1"/>
    </xf>
    <xf numFmtId="0" fontId="56" fillId="0" borderId="23" xfId="0" applyFont="1" applyBorder="1" applyAlignment="1">
      <alignment horizontal="center"/>
    </xf>
    <xf numFmtId="0" fontId="140" fillId="0" borderId="23" xfId="0" applyFont="1" applyBorder="1" applyAlignment="1">
      <alignment vertical="center" wrapText="1"/>
    </xf>
    <xf numFmtId="3" fontId="31" fillId="0" borderId="23" xfId="0" applyNumberFormat="1" applyFont="1" applyBorder="1" applyAlignment="1">
      <alignment horizontal="center" vertical="center" wrapText="1"/>
    </xf>
    <xf numFmtId="3" fontId="31" fillId="0" borderId="23" xfId="0" applyNumberFormat="1" applyFont="1" applyBorder="1"/>
    <xf numFmtId="0" fontId="40" fillId="0" borderId="23" xfId="0" applyFont="1" applyBorder="1"/>
    <xf numFmtId="0" fontId="56" fillId="0" borderId="23" xfId="0" applyFont="1" applyBorder="1" applyAlignment="1">
      <alignment horizontal="center" vertical="center"/>
    </xf>
    <xf numFmtId="0" fontId="109" fillId="0" borderId="23" xfId="0" applyFont="1" applyBorder="1" applyAlignment="1">
      <alignment vertical="center" wrapText="1"/>
    </xf>
    <xf numFmtId="3" fontId="31" fillId="0" borderId="23" xfId="0" applyNumberFormat="1" applyFont="1" applyBorder="1" applyAlignment="1">
      <alignment vertical="center"/>
    </xf>
    <xf numFmtId="0" fontId="31" fillId="0" borderId="23" xfId="0" applyFont="1" applyBorder="1" applyAlignment="1">
      <alignment wrapText="1"/>
    </xf>
    <xf numFmtId="0" fontId="31" fillId="0" borderId="23" xfId="0" applyFont="1" applyBorder="1" applyAlignment="1">
      <alignment horizontal="left" wrapText="1"/>
    </xf>
    <xf numFmtId="0" fontId="31" fillId="25" borderId="23" xfId="0" applyFont="1" applyFill="1" applyBorder="1" applyAlignment="1">
      <alignment horizontal="left" wrapText="1"/>
    </xf>
    <xf numFmtId="3" fontId="31" fillId="25" borderId="23" xfId="0" applyNumberFormat="1" applyFont="1" applyFill="1" applyBorder="1"/>
    <xf numFmtId="0" fontId="109" fillId="0" borderId="23" xfId="0" applyFont="1" applyBorder="1" applyAlignment="1">
      <alignment wrapText="1"/>
    </xf>
    <xf numFmtId="0" fontId="31" fillId="0" borderId="23" xfId="0" applyFont="1" applyBorder="1" applyAlignment="1">
      <alignment vertical="center" wrapText="1"/>
    </xf>
    <xf numFmtId="3" fontId="33" fillId="0" borderId="23" xfId="0" applyNumberFormat="1" applyFont="1" applyBorder="1"/>
    <xf numFmtId="3" fontId="31" fillId="0" borderId="23" xfId="0" applyNumberFormat="1" applyFont="1" applyFill="1" applyBorder="1" applyAlignment="1">
      <alignment vertical="center"/>
    </xf>
    <xf numFmtId="0" fontId="31" fillId="25" borderId="23" xfId="0" applyFont="1" applyFill="1" applyBorder="1" applyAlignment="1">
      <alignment wrapText="1"/>
    </xf>
    <xf numFmtId="3" fontId="31" fillId="25" borderId="23" xfId="0" applyNumberFormat="1" applyFont="1" applyFill="1" applyBorder="1" applyAlignment="1">
      <alignment vertical="center"/>
    </xf>
    <xf numFmtId="0" fontId="31" fillId="25" borderId="23" xfId="0" applyFont="1" applyFill="1" applyBorder="1" applyAlignment="1">
      <alignment vertical="center" wrapText="1"/>
    </xf>
    <xf numFmtId="0" fontId="56" fillId="0" borderId="23" xfId="0" applyFont="1" applyBorder="1" applyAlignment="1">
      <alignment wrapText="1"/>
    </xf>
    <xf numFmtId="3" fontId="56" fillId="0" borderId="23" xfId="0" applyNumberFormat="1" applyFont="1" applyBorder="1"/>
    <xf numFmtId="0" fontId="152" fillId="0" borderId="23" xfId="0" applyFont="1" applyBorder="1" applyAlignment="1">
      <alignment wrapText="1"/>
    </xf>
    <xf numFmtId="3" fontId="29" fillId="0" borderId="23" xfId="0" applyNumberFormat="1" applyFont="1" applyBorder="1"/>
    <xf numFmtId="0" fontId="29" fillId="0" borderId="23" xfId="0" applyFont="1" applyBorder="1" applyAlignment="1">
      <alignment wrapText="1"/>
    </xf>
    <xf numFmtId="3" fontId="29" fillId="0" borderId="23" xfId="0" applyNumberFormat="1" applyFont="1" applyBorder="1" applyAlignment="1">
      <alignment vertical="center"/>
    </xf>
    <xf numFmtId="0" fontId="56" fillId="0" borderId="24" xfId="0" applyFont="1" applyBorder="1" applyAlignment="1">
      <alignment horizontal="center"/>
    </xf>
    <xf numFmtId="0" fontId="31" fillId="25" borderId="24" xfId="0" applyFont="1" applyFill="1" applyBorder="1" applyAlignment="1">
      <alignment horizontal="left" wrapText="1"/>
    </xf>
    <xf numFmtId="3" fontId="31" fillId="25" borderId="24" xfId="0" applyNumberFormat="1" applyFont="1" applyFill="1" applyBorder="1"/>
    <xf numFmtId="0" fontId="40" fillId="0" borderId="24" xfId="0" applyFont="1" applyBorder="1"/>
    <xf numFmtId="0" fontId="56" fillId="0" borderId="44" xfId="0" applyFont="1" applyBorder="1" applyAlignment="1">
      <alignment horizontal="center"/>
    </xf>
    <xf numFmtId="0" fontId="109" fillId="0" borderId="44" xfId="0" applyFont="1" applyBorder="1" applyAlignment="1">
      <alignment wrapText="1"/>
    </xf>
    <xf numFmtId="3" fontId="109" fillId="0" borderId="44" xfId="0" applyNumberFormat="1" applyFont="1" applyBorder="1"/>
    <xf numFmtId="0" fontId="40" fillId="0" borderId="44" xfId="0" applyFont="1" applyBorder="1"/>
    <xf numFmtId="0" fontId="56" fillId="0" borderId="106" xfId="0" applyFont="1" applyBorder="1" applyAlignment="1">
      <alignment horizontal="center"/>
    </xf>
    <xf numFmtId="0" fontId="109" fillId="0" borderId="31" xfId="0" applyFont="1" applyBorder="1" applyAlignment="1">
      <alignment wrapText="1"/>
    </xf>
    <xf numFmtId="0" fontId="40" fillId="0" borderId="31" xfId="0" applyFont="1" applyBorder="1"/>
    <xf numFmtId="0" fontId="40" fillId="0" borderId="55" xfId="0" applyFont="1" applyBorder="1"/>
    <xf numFmtId="0" fontId="56" fillId="0" borderId="24" xfId="0" applyFont="1" applyBorder="1" applyAlignment="1">
      <alignment horizontal="center" vertical="center"/>
    </xf>
    <xf numFmtId="0" fontId="31" fillId="0" borderId="24" xfId="0" applyFont="1" applyBorder="1" applyAlignment="1">
      <alignment wrapText="1"/>
    </xf>
    <xf numFmtId="3" fontId="31" fillId="0" borderId="24" xfId="0" applyNumberFormat="1" applyFont="1" applyBorder="1" applyAlignment="1">
      <alignment vertical="center"/>
    </xf>
    <xf numFmtId="0" fontId="56" fillId="0" borderId="44" xfId="0" applyFont="1" applyBorder="1" applyAlignment="1">
      <alignment horizontal="center" vertical="center"/>
    </xf>
    <xf numFmtId="0" fontId="56" fillId="0" borderId="106" xfId="0" applyFont="1" applyBorder="1" applyAlignment="1">
      <alignment horizontal="center" vertical="center"/>
    </xf>
    <xf numFmtId="0" fontId="56" fillId="0" borderId="25" xfId="0" applyFont="1" applyBorder="1" applyAlignment="1">
      <alignment horizontal="center" vertical="center"/>
    </xf>
    <xf numFmtId="0" fontId="31" fillId="0" borderId="25" xfId="0" applyFont="1" applyBorder="1" applyAlignment="1">
      <alignment wrapText="1"/>
    </xf>
    <xf numFmtId="0" fontId="40" fillId="0" borderId="25" xfId="0" applyFont="1" applyBorder="1"/>
    <xf numFmtId="0" fontId="56" fillId="0" borderId="44" xfId="0" applyFont="1" applyBorder="1" applyAlignment="1">
      <alignment wrapText="1"/>
    </xf>
    <xf numFmtId="3" fontId="56" fillId="0" borderId="44" xfId="0" applyNumberFormat="1" applyFont="1" applyBorder="1"/>
    <xf numFmtId="3" fontId="29" fillId="0" borderId="31" xfId="0" applyNumberFormat="1" applyFont="1" applyBorder="1" applyAlignment="1">
      <alignment vertical="center"/>
    </xf>
    <xf numFmtId="0" fontId="56" fillId="0" borderId="24" xfId="0" applyFont="1" applyBorder="1" applyAlignment="1">
      <alignment wrapText="1"/>
    </xf>
    <xf numFmtId="3" fontId="56" fillId="0" borderId="24" xfId="0" applyNumberFormat="1" applyFont="1" applyBorder="1"/>
    <xf numFmtId="0" fontId="29" fillId="0" borderId="31" xfId="0" applyFont="1" applyBorder="1" applyAlignment="1">
      <alignment wrapText="1"/>
    </xf>
    <xf numFmtId="3" fontId="44" fillId="0" borderId="24" xfId="0" applyNumberFormat="1" applyFont="1" applyBorder="1" applyAlignment="1">
      <alignment horizontal="center" vertical="center"/>
    </xf>
    <xf numFmtId="3" fontId="53" fillId="0" borderId="24" xfId="0" applyNumberFormat="1" applyFont="1" applyBorder="1"/>
    <xf numFmtId="0" fontId="53" fillId="0" borderId="24" xfId="0" applyFont="1" applyBorder="1"/>
    <xf numFmtId="0" fontId="20" fillId="0" borderId="23" xfId="0" applyFont="1" applyBorder="1" applyAlignment="1">
      <alignment horizontal="center"/>
    </xf>
    <xf numFmtId="0" fontId="49" fillId="0" borderId="23" xfId="0" applyFont="1" applyBorder="1"/>
    <xf numFmtId="3" fontId="43" fillId="0" borderId="23" xfId="0" applyNumberFormat="1" applyFont="1" applyBorder="1"/>
    <xf numFmtId="3" fontId="42" fillId="0" borderId="23" xfId="0" applyNumberFormat="1" applyFont="1" applyBorder="1"/>
    <xf numFmtId="0" fontId="42" fillId="0" borderId="23" xfId="0" applyFont="1" applyBorder="1"/>
    <xf numFmtId="0" fontId="44" fillId="0" borderId="23" xfId="0" applyFont="1" applyBorder="1" applyAlignment="1">
      <alignment horizontal="left" vertical="center"/>
    </xf>
    <xf numFmtId="0" fontId="43" fillId="0" borderId="23" xfId="0" applyFont="1" applyBorder="1" applyAlignment="1">
      <alignment vertical="center" wrapText="1"/>
    </xf>
    <xf numFmtId="3" fontId="20" fillId="0" borderId="23" xfId="0" applyNumberFormat="1" applyFont="1" applyBorder="1" applyAlignment="1">
      <alignment vertical="center"/>
    </xf>
    <xf numFmtId="3" fontId="53" fillId="0" borderId="23" xfId="0" applyNumberFormat="1" applyFont="1" applyBorder="1" applyAlignment="1">
      <alignment vertical="center"/>
    </xf>
    <xf numFmtId="0" fontId="44" fillId="0" borderId="23" xfId="0" applyFont="1" applyBorder="1" applyAlignment="1">
      <alignment vertical="center" wrapText="1"/>
    </xf>
    <xf numFmtId="3" fontId="43" fillId="0" borderId="23" xfId="0" applyNumberFormat="1" applyFont="1" applyBorder="1" applyAlignment="1">
      <alignment vertical="center"/>
    </xf>
    <xf numFmtId="0" fontId="48" fillId="0" borderId="23" xfId="0" applyFont="1" applyFill="1" applyBorder="1" applyAlignment="1">
      <alignment wrapText="1"/>
    </xf>
    <xf numFmtId="3" fontId="42" fillId="0" borderId="23" xfId="0" applyNumberFormat="1" applyFont="1" applyBorder="1" applyAlignment="1">
      <alignment vertical="center"/>
    </xf>
    <xf numFmtId="0" fontId="20" fillId="0" borderId="23" xfId="0" applyFont="1" applyBorder="1" applyAlignment="1">
      <alignment vertical="center"/>
    </xf>
    <xf numFmtId="0" fontId="43" fillId="0" borderId="23" xfId="0" applyFont="1" applyBorder="1"/>
    <xf numFmtId="0" fontId="43" fillId="0" borderId="23" xfId="0" applyFont="1" applyBorder="1" applyAlignment="1">
      <alignment wrapText="1"/>
    </xf>
    <xf numFmtId="0" fontId="44" fillId="0" borderId="23" xfId="0" applyFont="1" applyBorder="1" applyAlignment="1">
      <alignment wrapText="1"/>
    </xf>
    <xf numFmtId="0" fontId="20" fillId="0" borderId="41" xfId="0" applyFont="1" applyBorder="1" applyAlignment="1">
      <alignment horizontal="center"/>
    </xf>
    <xf numFmtId="0" fontId="22" fillId="0" borderId="24" xfId="0" applyFont="1" applyBorder="1" applyAlignment="1">
      <alignment vertical="center" wrapText="1"/>
    </xf>
    <xf numFmtId="3" fontId="20" fillId="0" borderId="24" xfId="0" applyNumberFormat="1" applyFont="1" applyBorder="1" applyAlignment="1">
      <alignment vertical="center"/>
    </xf>
    <xf numFmtId="3" fontId="53" fillId="0" borderId="24" xfId="0" applyNumberFormat="1" applyFont="1" applyBorder="1" applyAlignment="1">
      <alignment vertical="center"/>
    </xf>
    <xf numFmtId="0" fontId="42" fillId="0" borderId="24" xfId="0" applyFont="1" applyBorder="1"/>
    <xf numFmtId="0" fontId="48" fillId="0" borderId="44" xfId="0" applyFont="1" applyFill="1" applyBorder="1" applyAlignment="1">
      <alignment wrapText="1"/>
    </xf>
    <xf numFmtId="3" fontId="44" fillId="0" borderId="44" xfId="0" applyNumberFormat="1" applyFont="1" applyBorder="1" applyAlignment="1">
      <alignment vertical="center"/>
    </xf>
    <xf numFmtId="3" fontId="41" fillId="0" borderId="44" xfId="0" applyNumberFormat="1" applyFont="1" applyBorder="1" applyAlignment="1">
      <alignment vertical="center"/>
    </xf>
    <xf numFmtId="0" fontId="53" fillId="0" borderId="44" xfId="0" applyFont="1" applyBorder="1" applyAlignment="1">
      <alignment vertical="center"/>
    </xf>
    <xf numFmtId="0" fontId="41" fillId="0" borderId="44" xfId="0" applyFont="1" applyBorder="1"/>
    <xf numFmtId="0" fontId="48" fillId="0" borderId="106" xfId="0" applyFont="1" applyFill="1" applyBorder="1" applyAlignment="1">
      <alignment wrapText="1"/>
    </xf>
    <xf numFmtId="0" fontId="41" fillId="0" borderId="31" xfId="0" applyFont="1" applyBorder="1"/>
    <xf numFmtId="0" fontId="41" fillId="0" borderId="55" xfId="0" applyFont="1" applyBorder="1"/>
    <xf numFmtId="0" fontId="43" fillId="0" borderId="24" xfId="0" applyFont="1" applyBorder="1" applyAlignment="1">
      <alignment horizontal="left" vertical="center" wrapText="1"/>
    </xf>
    <xf numFmtId="3" fontId="43" fillId="0" borderId="24" xfId="0" applyNumberFormat="1" applyFont="1" applyBorder="1" applyAlignment="1">
      <alignment horizontal="center" vertical="center"/>
    </xf>
    <xf numFmtId="3" fontId="43" fillId="0" borderId="24" xfId="0" applyNumberFormat="1" applyFont="1" applyBorder="1" applyAlignment="1">
      <alignment horizontal="right" vertical="center"/>
    </xf>
    <xf numFmtId="3" fontId="53" fillId="0" borderId="24" xfId="0" applyNumberFormat="1" applyFont="1" applyBorder="1" applyAlignment="1">
      <alignment horizontal="right" vertical="center"/>
    </xf>
    <xf numFmtId="3" fontId="53" fillId="0" borderId="31" xfId="0" applyNumberFormat="1" applyFont="1" applyBorder="1" applyAlignment="1">
      <alignment vertical="center"/>
    </xf>
    <xf numFmtId="0" fontId="43" fillId="0" borderId="44" xfId="0" applyFont="1" applyBorder="1" applyAlignment="1">
      <alignment wrapText="1"/>
    </xf>
    <xf numFmtId="3" fontId="20" fillId="0" borderId="44" xfId="0" applyNumberFormat="1" applyFont="1" applyBorder="1" applyAlignment="1">
      <alignment vertical="center"/>
    </xf>
    <xf numFmtId="0" fontId="20" fillId="0" borderId="44" xfId="0" applyFont="1" applyBorder="1" applyAlignment="1">
      <alignment vertical="center"/>
    </xf>
    <xf numFmtId="0" fontId="42" fillId="0" borderId="44" xfId="0" applyFont="1" applyBorder="1"/>
    <xf numFmtId="0" fontId="44" fillId="0" borderId="106" xfId="0" applyFont="1" applyBorder="1" applyAlignment="1">
      <alignment wrapText="1"/>
    </xf>
    <xf numFmtId="0" fontId="43" fillId="0" borderId="24" xfId="0" applyFont="1" applyBorder="1" applyAlignment="1">
      <alignment vertical="center" wrapText="1"/>
    </xf>
    <xf numFmtId="0" fontId="44" fillId="0" borderId="106" xfId="0" applyFont="1" applyBorder="1"/>
    <xf numFmtId="3" fontId="25" fillId="0" borderId="0" xfId="78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28" fillId="0" borderId="23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left" vertical="center" wrapText="1"/>
    </xf>
    <xf numFmtId="3" fontId="28" fillId="0" borderId="23" xfId="78" applyNumberFormat="1" applyFont="1" applyBorder="1"/>
    <xf numFmtId="3" fontId="25" fillId="0" borderId="23" xfId="78" applyNumberFormat="1" applyFont="1" applyBorder="1"/>
    <xf numFmtId="3" fontId="37" fillId="0" borderId="23" xfId="78" applyNumberFormat="1" applyFont="1" applyBorder="1"/>
    <xf numFmtId="0" fontId="37" fillId="0" borderId="23" xfId="78" applyFont="1" applyBorder="1"/>
    <xf numFmtId="3" fontId="25" fillId="0" borderId="23" xfId="78" applyNumberFormat="1" applyFont="1" applyBorder="1" applyAlignment="1">
      <alignment horizontal="center" vertical="center" wrapText="1"/>
    </xf>
    <xf numFmtId="3" fontId="28" fillId="0" borderId="23" xfId="78" applyNumberFormat="1" applyFont="1" applyBorder="1" applyAlignment="1">
      <alignment horizontal="center" vertical="center" wrapText="1"/>
    </xf>
    <xf numFmtId="3" fontId="28" fillId="0" borderId="23" xfId="78" applyNumberFormat="1" applyFont="1" applyBorder="1" applyAlignment="1">
      <alignment horizontal="left" vertical="center" wrapText="1"/>
    </xf>
    <xf numFmtId="3" fontId="35" fillId="0" borderId="23" xfId="78" applyNumberFormat="1" applyFont="1" applyBorder="1" applyAlignment="1">
      <alignment vertical="center"/>
    </xf>
    <xf numFmtId="3" fontId="35" fillId="0" borderId="23" xfId="78" applyNumberFormat="1" applyFont="1" applyBorder="1"/>
    <xf numFmtId="3" fontId="30" fillId="0" borderId="23" xfId="78" applyNumberFormat="1" applyFont="1" applyBorder="1"/>
    <xf numFmtId="3" fontId="28" fillId="0" borderId="23" xfId="78" applyNumberFormat="1" applyFont="1" applyFill="1" applyBorder="1" applyAlignment="1">
      <alignment horizontal="left" vertical="center" wrapText="1"/>
    </xf>
    <xf numFmtId="3" fontId="28" fillId="0" borderId="23" xfId="78" applyNumberFormat="1" applyFont="1" applyBorder="1" applyAlignment="1">
      <alignment vertical="center"/>
    </xf>
    <xf numFmtId="0" fontId="28" fillId="0" borderId="23" xfId="78" applyFont="1" applyBorder="1"/>
    <xf numFmtId="3" fontId="25" fillId="0" borderId="23" xfId="78" applyNumberFormat="1" applyFont="1" applyFill="1" applyBorder="1" applyAlignment="1">
      <alignment horizontal="left" vertical="center" wrapText="1"/>
    </xf>
    <xf numFmtId="0" fontId="35" fillId="0" borderId="23" xfId="78" applyFont="1" applyBorder="1"/>
    <xf numFmtId="49" fontId="25" fillId="0" borderId="23" xfId="78" applyNumberFormat="1" applyFont="1" applyBorder="1" applyAlignment="1">
      <alignment horizontal="center" vertical="center" wrapText="1"/>
    </xf>
    <xf numFmtId="0" fontId="136" fillId="0" borderId="23" xfId="78" applyFont="1" applyBorder="1"/>
    <xf numFmtId="3" fontId="25" fillId="0" borderId="23" xfId="78" applyNumberFormat="1" applyFont="1" applyBorder="1" applyAlignment="1">
      <alignment horizontal="center" wrapText="1"/>
    </xf>
    <xf numFmtId="3" fontId="30" fillId="0" borderId="23" xfId="78" applyNumberFormat="1" applyFont="1" applyFill="1" applyBorder="1" applyAlignment="1">
      <alignment horizontal="left" vertical="center" wrapText="1"/>
    </xf>
    <xf numFmtId="3" fontId="28" fillId="0" borderId="23" xfId="78" applyNumberFormat="1" applyFont="1" applyFill="1" applyBorder="1"/>
    <xf numFmtId="49" fontId="35" fillId="0" borderId="23" xfId="78" applyNumberFormat="1" applyFont="1" applyBorder="1" applyAlignment="1">
      <alignment horizontal="center" vertical="center" wrapText="1"/>
    </xf>
    <xf numFmtId="3" fontId="35" fillId="0" borderId="23" xfId="78" applyNumberFormat="1" applyFont="1" applyFill="1" applyBorder="1" applyAlignment="1">
      <alignment horizontal="left" vertical="center" wrapText="1"/>
    </xf>
    <xf numFmtId="3" fontId="30" fillId="0" borderId="23" xfId="78" applyNumberFormat="1" applyFont="1" applyBorder="1" applyAlignment="1">
      <alignment vertical="center"/>
    </xf>
    <xf numFmtId="3" fontId="35" fillId="0" borderId="23" xfId="78" applyNumberFormat="1" applyFont="1" applyFill="1" applyBorder="1" applyAlignment="1">
      <alignment vertical="center"/>
    </xf>
    <xf numFmtId="3" fontId="30" fillId="0" borderId="23" xfId="78" applyNumberFormat="1" applyFont="1" applyFill="1" applyBorder="1" applyAlignment="1">
      <alignment vertical="center"/>
    </xf>
    <xf numFmtId="0" fontId="28" fillId="0" borderId="23" xfId="78" applyFont="1" applyBorder="1" applyAlignment="1">
      <alignment vertical="center" wrapText="1"/>
    </xf>
    <xf numFmtId="0" fontId="35" fillId="0" borderId="23" xfId="78" applyFont="1" applyBorder="1" applyAlignment="1">
      <alignment vertical="center" wrapText="1"/>
    </xf>
    <xf numFmtId="0" fontId="28" fillId="0" borderId="23" xfId="78" applyFont="1" applyBorder="1" applyAlignment="1">
      <alignment horizontal="center" wrapText="1"/>
    </xf>
    <xf numFmtId="49" fontId="58" fillId="0" borderId="23" xfId="78" applyNumberFormat="1" applyFont="1" applyBorder="1" applyAlignment="1">
      <alignment horizontal="center" vertical="center" wrapText="1"/>
    </xf>
    <xf numFmtId="0" fontId="35" fillId="0" borderId="23" xfId="0" applyFont="1" applyBorder="1" applyAlignment="1">
      <alignment horizontal="left" vertical="center" wrapText="1"/>
    </xf>
    <xf numFmtId="3" fontId="25" fillId="0" borderId="23" xfId="78" applyNumberFormat="1" applyFont="1" applyFill="1" applyBorder="1"/>
    <xf numFmtId="3" fontId="60" fillId="0" borderId="23" xfId="78" applyNumberFormat="1" applyFont="1" applyBorder="1"/>
    <xf numFmtId="0" fontId="60" fillId="0" borderId="23" xfId="78" applyFont="1" applyBorder="1"/>
    <xf numFmtId="3" fontId="28" fillId="0" borderId="23" xfId="78" applyNumberFormat="1" applyFont="1" applyFill="1" applyBorder="1" applyAlignment="1">
      <alignment vertical="center"/>
    </xf>
    <xf numFmtId="3" fontId="86" fillId="0" borderId="23" xfId="78" applyNumberFormat="1" applyFont="1" applyBorder="1" applyAlignment="1">
      <alignment vertical="center"/>
    </xf>
    <xf numFmtId="3" fontId="87" fillId="0" borderId="23" xfId="78" applyNumberFormat="1" applyFont="1" applyBorder="1" applyAlignment="1">
      <alignment vertical="center"/>
    </xf>
    <xf numFmtId="3" fontId="28" fillId="0" borderId="23" xfId="0" applyNumberFormat="1" applyFont="1" applyFill="1" applyBorder="1" applyAlignment="1">
      <alignment wrapText="1"/>
    </xf>
    <xf numFmtId="3" fontId="25" fillId="0" borderId="23" xfId="78" applyNumberFormat="1" applyFont="1" applyBorder="1" applyAlignment="1">
      <alignment vertical="center"/>
    </xf>
    <xf numFmtId="3" fontId="28" fillId="0" borderId="23" xfId="0" applyNumberFormat="1" applyFont="1" applyFill="1" applyBorder="1" applyAlignment="1">
      <alignment vertical="center" wrapText="1"/>
    </xf>
    <xf numFmtId="3" fontId="35" fillId="0" borderId="23" xfId="78" applyNumberFormat="1" applyFont="1" applyFill="1" applyBorder="1"/>
    <xf numFmtId="3" fontId="30" fillId="0" borderId="23" xfId="78" applyNumberFormat="1" applyFont="1" applyFill="1" applyBorder="1"/>
    <xf numFmtId="0" fontId="61" fillId="0" borderId="23" xfId="78" applyFont="1" applyBorder="1"/>
    <xf numFmtId="3" fontId="61" fillId="0" borderId="23" xfId="78" applyNumberFormat="1" applyFont="1" applyBorder="1" applyAlignment="1">
      <alignment vertical="center"/>
    </xf>
    <xf numFmtId="0" fontId="30" fillId="0" borderId="23" xfId="78" applyFont="1" applyBorder="1"/>
    <xf numFmtId="0" fontId="30" fillId="0" borderId="23" xfId="78" applyFont="1" applyBorder="1" applyAlignment="1">
      <alignment vertical="center"/>
    </xf>
    <xf numFmtId="3" fontId="35" fillId="0" borderId="23" xfId="78" applyNumberFormat="1" applyFont="1" applyBorder="1" applyAlignment="1">
      <alignment horizontal="left" vertical="center" wrapText="1"/>
    </xf>
    <xf numFmtId="3" fontId="25" fillId="0" borderId="85" xfId="78" applyNumberFormat="1" applyFont="1" applyBorder="1" applyAlignment="1">
      <alignment vertical="center"/>
    </xf>
    <xf numFmtId="3" fontId="28" fillId="0" borderId="85" xfId="78" applyNumberFormat="1" applyFont="1" applyBorder="1"/>
    <xf numFmtId="3" fontId="35" fillId="0" borderId="85" xfId="78" applyNumberFormat="1" applyFont="1" applyBorder="1"/>
    <xf numFmtId="3" fontId="30" fillId="0" borderId="85" xfId="78" applyNumberFormat="1" applyFont="1" applyBorder="1"/>
    <xf numFmtId="3" fontId="28" fillId="0" borderId="114" xfId="78" applyNumberFormat="1" applyFont="1" applyBorder="1"/>
    <xf numFmtId="3" fontId="35" fillId="0" borderId="114" xfId="78" applyNumberFormat="1" applyFont="1" applyBorder="1"/>
    <xf numFmtId="3" fontId="30" fillId="0" borderId="114" xfId="78" applyNumberFormat="1" applyFont="1" applyBorder="1"/>
    <xf numFmtId="3" fontId="35" fillId="0" borderId="85" xfId="78" applyNumberFormat="1" applyFont="1" applyBorder="1" applyAlignment="1">
      <alignment vertical="center"/>
    </xf>
    <xf numFmtId="3" fontId="35" fillId="0" borderId="85" xfId="78" applyNumberFormat="1" applyFont="1" applyFill="1" applyBorder="1" applyAlignment="1">
      <alignment vertical="center"/>
    </xf>
    <xf numFmtId="3" fontId="25" fillId="0" borderId="85" xfId="78" applyNumberFormat="1" applyFont="1" applyBorder="1"/>
    <xf numFmtId="3" fontId="86" fillId="0" borderId="85" xfId="78" applyNumberFormat="1" applyFont="1" applyBorder="1" applyAlignment="1">
      <alignment vertical="center"/>
    </xf>
    <xf numFmtId="3" fontId="28" fillId="0" borderId="85" xfId="78" applyNumberFormat="1" applyFont="1" applyBorder="1" applyAlignment="1">
      <alignment vertical="center"/>
    </xf>
    <xf numFmtId="0" fontId="35" fillId="0" borderId="85" xfId="78" applyFont="1" applyBorder="1"/>
    <xf numFmtId="3" fontId="35" fillId="0" borderId="85" xfId="78" applyNumberFormat="1" applyFont="1" applyFill="1" applyBorder="1"/>
    <xf numFmtId="3" fontId="30" fillId="0" borderId="85" xfId="78" applyNumberFormat="1" applyFont="1" applyBorder="1" applyAlignment="1">
      <alignment vertical="center"/>
    </xf>
    <xf numFmtId="3" fontId="35" fillId="0" borderId="114" xfId="78" applyNumberFormat="1" applyFont="1" applyBorder="1" applyAlignment="1">
      <alignment vertical="center"/>
    </xf>
    <xf numFmtId="3" fontId="35" fillId="0" borderId="114" xfId="78" applyNumberFormat="1" applyFont="1" applyFill="1" applyBorder="1" applyAlignment="1">
      <alignment vertical="center"/>
    </xf>
    <xf numFmtId="3" fontId="25" fillId="0" borderId="114" xfId="78" applyNumberFormat="1" applyFont="1" applyBorder="1"/>
    <xf numFmtId="3" fontId="86" fillId="0" borderId="114" xfId="78" applyNumberFormat="1" applyFont="1" applyBorder="1" applyAlignment="1">
      <alignment vertical="center"/>
    </xf>
    <xf numFmtId="3" fontId="28" fillId="0" borderId="114" xfId="78" applyNumberFormat="1" applyFont="1" applyBorder="1" applyAlignment="1">
      <alignment vertical="center"/>
    </xf>
    <xf numFmtId="0" fontId="35" fillId="0" borderId="114" xfId="78" applyFont="1" applyBorder="1"/>
    <xf numFmtId="3" fontId="35" fillId="0" borderId="114" xfId="78" applyNumberFormat="1" applyFont="1" applyFill="1" applyBorder="1"/>
    <xf numFmtId="3" fontId="25" fillId="0" borderId="114" xfId="78" applyNumberFormat="1" applyFont="1" applyBorder="1" applyAlignment="1">
      <alignment vertical="center"/>
    </xf>
    <xf numFmtId="3" fontId="30" fillId="0" borderId="114" xfId="78" applyNumberFormat="1" applyFont="1" applyBorder="1" applyAlignment="1">
      <alignment vertical="center"/>
    </xf>
    <xf numFmtId="3" fontId="30" fillId="0" borderId="85" xfId="78" applyNumberFormat="1" applyFont="1" applyFill="1" applyBorder="1" applyAlignment="1">
      <alignment vertical="center"/>
    </xf>
    <xf numFmtId="3" fontId="87" fillId="0" borderId="85" xfId="78" applyNumberFormat="1" applyFont="1" applyBorder="1" applyAlignment="1">
      <alignment vertical="center"/>
    </xf>
    <xf numFmtId="3" fontId="30" fillId="0" borderId="85" xfId="78" applyNumberFormat="1" applyFont="1" applyFill="1" applyBorder="1"/>
    <xf numFmtId="3" fontId="37" fillId="0" borderId="85" xfId="78" applyNumberFormat="1" applyFont="1" applyBorder="1"/>
    <xf numFmtId="0" fontId="0" fillId="0" borderId="112" xfId="0" applyBorder="1" applyAlignment="1">
      <alignment horizontal="center" vertical="center"/>
    </xf>
    <xf numFmtId="3" fontId="25" fillId="0" borderId="41" xfId="78" applyNumberFormat="1" applyFont="1" applyBorder="1"/>
    <xf numFmtId="3" fontId="37" fillId="0" borderId="119" xfId="78" applyNumberFormat="1" applyFont="1" applyBorder="1"/>
    <xf numFmtId="3" fontId="60" fillId="0" borderId="85" xfId="78" applyNumberFormat="1" applyFont="1" applyBorder="1"/>
    <xf numFmtId="3" fontId="61" fillId="0" borderId="85" xfId="78" applyNumberFormat="1" applyFont="1" applyBorder="1" applyAlignment="1">
      <alignment vertical="center"/>
    </xf>
    <xf numFmtId="3" fontId="30" fillId="0" borderId="114" xfId="78" applyNumberFormat="1" applyFont="1" applyFill="1" applyBorder="1" applyAlignment="1">
      <alignment vertical="center"/>
    </xf>
    <xf numFmtId="3" fontId="87" fillId="0" borderId="114" xfId="78" applyNumberFormat="1" applyFont="1" applyBorder="1" applyAlignment="1">
      <alignment vertical="center"/>
    </xf>
    <xf numFmtId="3" fontId="30" fillId="0" borderId="114" xfId="78" applyNumberFormat="1" applyFont="1" applyFill="1" applyBorder="1"/>
    <xf numFmtId="3" fontId="37" fillId="0" borderId="114" xfId="78" applyNumberFormat="1" applyFont="1" applyBorder="1"/>
    <xf numFmtId="3" fontId="121" fillId="0" borderId="85" xfId="78" applyNumberFormat="1" applyFont="1" applyBorder="1"/>
    <xf numFmtId="3" fontId="35" fillId="0" borderId="85" xfId="78" applyNumberFormat="1" applyFont="1" applyBorder="1" applyAlignment="1">
      <alignment horizontal="right" vertical="center"/>
    </xf>
    <xf numFmtId="3" fontId="60" fillId="0" borderId="114" xfId="78" applyNumberFormat="1" applyFont="1" applyBorder="1"/>
    <xf numFmtId="3" fontId="61" fillId="0" borderId="114" xfId="78" applyNumberFormat="1" applyFont="1" applyBorder="1" applyAlignment="1">
      <alignment vertical="center"/>
    </xf>
    <xf numFmtId="3" fontId="28" fillId="0" borderId="68" xfId="78" applyNumberFormat="1" applyFont="1" applyBorder="1"/>
    <xf numFmtId="3" fontId="28" fillId="0" borderId="24" xfId="78" applyNumberFormat="1" applyFont="1" applyBorder="1" applyAlignment="1">
      <alignment horizontal="center" vertical="center" wrapText="1"/>
    </xf>
    <xf numFmtId="3" fontId="28" fillId="0" borderId="24" xfId="78" applyNumberFormat="1" applyFont="1" applyFill="1" applyBorder="1" applyAlignment="1">
      <alignment horizontal="left" vertical="center" wrapText="1"/>
    </xf>
    <xf numFmtId="3" fontId="35" fillId="0" borderId="24" xfId="78" applyNumberFormat="1" applyFont="1" applyBorder="1" applyAlignment="1">
      <alignment vertical="center"/>
    </xf>
    <xf numFmtId="3" fontId="35" fillId="0" borderId="24" xfId="78" applyNumberFormat="1" applyFont="1" applyBorder="1"/>
    <xf numFmtId="3" fontId="35" fillId="0" borderId="120" xfId="78" applyNumberFormat="1" applyFont="1" applyBorder="1"/>
    <xf numFmtId="3" fontId="35" fillId="0" borderId="75" xfId="78" applyNumberFormat="1" applyFont="1" applyBorder="1"/>
    <xf numFmtId="3" fontId="30" fillId="0" borderId="75" xfId="78" applyNumberFormat="1" applyFont="1" applyBorder="1"/>
    <xf numFmtId="3" fontId="30" fillId="0" borderId="24" xfId="78" applyNumberFormat="1" applyFont="1" applyBorder="1"/>
    <xf numFmtId="3" fontId="30" fillId="0" borderId="120" xfId="78" applyNumberFormat="1" applyFont="1" applyBorder="1"/>
    <xf numFmtId="3" fontId="28" fillId="0" borderId="75" xfId="78" applyNumberFormat="1" applyFont="1" applyBorder="1"/>
    <xf numFmtId="3" fontId="28" fillId="0" borderId="24" xfId="78" applyNumberFormat="1" applyFont="1" applyBorder="1"/>
    <xf numFmtId="3" fontId="28" fillId="0" borderId="120" xfId="78" applyNumberFormat="1" applyFont="1" applyBorder="1"/>
    <xf numFmtId="0" fontId="28" fillId="0" borderId="24" xfId="78" applyFont="1" applyBorder="1"/>
    <xf numFmtId="49" fontId="25" fillId="0" borderId="44" xfId="78" applyNumberFormat="1" applyFont="1" applyBorder="1" applyAlignment="1">
      <alignment horizontal="center" vertical="center" wrapText="1"/>
    </xf>
    <xf numFmtId="3" fontId="28" fillId="0" borderId="44" xfId="78" applyNumberFormat="1" applyFont="1" applyFill="1" applyBorder="1" applyAlignment="1">
      <alignment horizontal="left" vertical="center" wrapText="1"/>
    </xf>
    <xf numFmtId="3" fontId="28" fillId="0" borderId="44" xfId="78" applyNumberFormat="1" applyFont="1" applyBorder="1"/>
    <xf numFmtId="3" fontId="28" fillId="0" borderId="121" xfId="78" applyNumberFormat="1" applyFont="1" applyBorder="1"/>
    <xf numFmtId="3" fontId="28" fillId="0" borderId="78" xfId="78" applyNumberFormat="1" applyFont="1" applyBorder="1"/>
    <xf numFmtId="3" fontId="25" fillId="0" borderId="78" xfId="78" applyNumberFormat="1" applyFont="1" applyBorder="1"/>
    <xf numFmtId="3" fontId="25" fillId="0" borderId="44" xfId="78" applyNumberFormat="1" applyFont="1" applyBorder="1"/>
    <xf numFmtId="3" fontId="25" fillId="0" borderId="121" xfId="78" applyNumberFormat="1" applyFont="1" applyBorder="1"/>
    <xf numFmtId="3" fontId="37" fillId="0" borderId="78" xfId="78" applyNumberFormat="1" applyFont="1" applyBorder="1"/>
    <xf numFmtId="3" fontId="37" fillId="0" borderId="44" xfId="78" applyNumberFormat="1" applyFont="1" applyBorder="1"/>
    <xf numFmtId="3" fontId="37" fillId="0" borderId="121" xfId="78" applyNumberFormat="1" applyFont="1" applyBorder="1"/>
    <xf numFmtId="0" fontId="37" fillId="0" borderId="44" xfId="78" applyFont="1" applyBorder="1"/>
    <xf numFmtId="3" fontId="25" fillId="0" borderId="106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31" xfId="78" applyNumberFormat="1" applyFont="1" applyBorder="1"/>
    <xf numFmtId="3" fontId="30" fillId="0" borderId="31" xfId="78" applyNumberFormat="1" applyFont="1" applyBorder="1"/>
    <xf numFmtId="3" fontId="30" fillId="0" borderId="55" xfId="78" applyNumberFormat="1" applyFont="1" applyBorder="1"/>
    <xf numFmtId="3" fontId="30" fillId="0" borderId="63" xfId="78" applyNumberFormat="1" applyFont="1" applyBorder="1"/>
    <xf numFmtId="0" fontId="35" fillId="0" borderId="31" xfId="78" applyFont="1" applyBorder="1"/>
    <xf numFmtId="0" fontId="28" fillId="0" borderId="55" xfId="78" applyFont="1" applyBorder="1"/>
    <xf numFmtId="49" fontId="28" fillId="0" borderId="24" xfId="78" applyNumberFormat="1" applyFont="1" applyBorder="1" applyAlignment="1">
      <alignment horizontal="center" vertical="center" wrapText="1"/>
    </xf>
    <xf numFmtId="3" fontId="28" fillId="0" borderId="24" xfId="78" applyNumberFormat="1" applyFont="1" applyBorder="1" applyAlignment="1">
      <alignment horizontal="left" vertical="center" wrapText="1"/>
    </xf>
    <xf numFmtId="3" fontId="30" fillId="0" borderId="40" xfId="78" applyNumberFormat="1" applyFont="1" applyBorder="1"/>
    <xf numFmtId="3" fontId="35" fillId="0" borderId="122" xfId="78" applyNumberFormat="1" applyFont="1" applyBorder="1"/>
    <xf numFmtId="0" fontId="136" fillId="0" borderId="24" xfId="78" applyFont="1" applyBorder="1"/>
    <xf numFmtId="0" fontId="37" fillId="0" borderId="24" xfId="78" applyFont="1" applyBorder="1"/>
    <xf numFmtId="3" fontId="30" fillId="0" borderId="44" xfId="78" applyNumberFormat="1" applyFont="1" applyBorder="1" applyAlignment="1">
      <alignment horizontal="left" vertical="center" wrapText="1"/>
    </xf>
    <xf numFmtId="49" fontId="25" fillId="0" borderId="106" xfId="78" applyNumberFormat="1" applyFont="1" applyBorder="1" applyAlignment="1">
      <alignment horizontal="center" vertical="center" wrapText="1"/>
    </xf>
    <xf numFmtId="3" fontId="25" fillId="0" borderId="31" xfId="78" applyNumberFormat="1" applyFont="1" applyBorder="1" applyAlignment="1">
      <alignment horizontal="left" vertical="center" wrapText="1"/>
    </xf>
    <xf numFmtId="0" fontId="37" fillId="0" borderId="31" xfId="78" applyFont="1" applyBorder="1"/>
    <xf numFmtId="0" fontId="37" fillId="0" borderId="55" xfId="78" applyFont="1" applyBorder="1"/>
    <xf numFmtId="49" fontId="35" fillId="0" borderId="24" xfId="78" applyNumberFormat="1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3" fontId="35" fillId="0" borderId="120" xfId="78" applyNumberFormat="1" applyFont="1" applyBorder="1" applyAlignment="1">
      <alignment vertical="center"/>
    </xf>
    <xf numFmtId="3" fontId="35" fillId="0" borderId="75" xfId="78" applyNumberFormat="1" applyFont="1" applyBorder="1" applyAlignment="1">
      <alignment vertical="center"/>
    </xf>
    <xf numFmtId="3" fontId="30" fillId="0" borderId="75" xfId="78" applyNumberFormat="1" applyFont="1" applyBorder="1" applyAlignment="1">
      <alignment vertical="center"/>
    </xf>
    <xf numFmtId="3" fontId="30" fillId="0" borderId="24" xfId="78" applyNumberFormat="1" applyFont="1" applyBorder="1" applyAlignment="1">
      <alignment vertical="center"/>
    </xf>
    <xf numFmtId="3" fontId="30" fillId="0" borderId="120" xfId="78" applyNumberFormat="1" applyFont="1" applyBorder="1" applyAlignment="1">
      <alignment vertical="center"/>
    </xf>
    <xf numFmtId="3" fontId="28" fillId="0" borderId="44" xfId="78" applyNumberFormat="1" applyFont="1" applyBorder="1" applyAlignment="1">
      <alignment horizontal="center" vertical="center" wrapText="1"/>
    </xf>
    <xf numFmtId="3" fontId="28" fillId="0" borderId="44" xfId="78" applyNumberFormat="1" applyFont="1" applyFill="1" applyBorder="1"/>
    <xf numFmtId="0" fontId="28" fillId="0" borderId="44" xfId="78" applyFont="1" applyBorder="1"/>
    <xf numFmtId="3" fontId="28" fillId="0" borderId="106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/>
    <xf numFmtId="0" fontId="28" fillId="0" borderId="24" xfId="78" applyFont="1" applyBorder="1" applyAlignment="1">
      <alignment vertical="center" wrapText="1"/>
    </xf>
    <xf numFmtId="3" fontId="28" fillId="0" borderId="24" xfId="78" applyNumberFormat="1" applyFont="1" applyFill="1" applyBorder="1" applyAlignment="1">
      <alignment vertical="center"/>
    </xf>
    <xf numFmtId="3" fontId="28" fillId="0" borderId="24" xfId="78" applyNumberFormat="1" applyFont="1" applyBorder="1" applyAlignment="1">
      <alignment vertical="center"/>
    </xf>
    <xf numFmtId="3" fontId="28" fillId="0" borderId="120" xfId="78" applyNumberFormat="1" applyFont="1" applyBorder="1" applyAlignment="1">
      <alignment vertical="center"/>
    </xf>
    <xf numFmtId="3" fontId="28" fillId="0" borderId="75" xfId="78" applyNumberFormat="1" applyFont="1" applyBorder="1" applyAlignment="1">
      <alignment vertical="center"/>
    </xf>
    <xf numFmtId="3" fontId="25" fillId="0" borderId="75" xfId="78" applyNumberFormat="1" applyFont="1" applyBorder="1" applyAlignment="1">
      <alignment vertical="center"/>
    </xf>
    <xf numFmtId="3" fontId="25" fillId="0" borderId="24" xfId="78" applyNumberFormat="1" applyFont="1" applyBorder="1" applyAlignment="1">
      <alignment vertical="center"/>
    </xf>
    <xf numFmtId="3" fontId="25" fillId="0" borderId="120" xfId="78" applyNumberFormat="1" applyFont="1" applyBorder="1" applyAlignment="1">
      <alignment vertical="center"/>
    </xf>
    <xf numFmtId="0" fontId="60" fillId="0" borderId="24" xfId="78" applyFont="1" applyBorder="1"/>
    <xf numFmtId="3" fontId="25" fillId="0" borderId="44" xfId="78" applyNumberFormat="1" applyFont="1" applyFill="1" applyBorder="1" applyAlignment="1">
      <alignment horizontal="left" vertical="center" wrapText="1"/>
    </xf>
    <xf numFmtId="3" fontId="25" fillId="0" borderId="44" xfId="78" applyNumberFormat="1" applyFont="1" applyFill="1" applyBorder="1"/>
    <xf numFmtId="0" fontId="60" fillId="0" borderId="44" xfId="78" applyFont="1" applyBorder="1"/>
    <xf numFmtId="3" fontId="25" fillId="0" borderId="55" xfId="78" applyNumberFormat="1" applyFont="1" applyBorder="1"/>
    <xf numFmtId="3" fontId="60" fillId="0" borderId="31" xfId="78" applyNumberFormat="1" applyFont="1" applyBorder="1"/>
    <xf numFmtId="0" fontId="60" fillId="0" borderId="55" xfId="78" applyFont="1" applyBorder="1"/>
    <xf numFmtId="49" fontId="25" fillId="0" borderId="24" xfId="78" applyNumberFormat="1" applyFont="1" applyBorder="1" applyAlignment="1">
      <alignment horizontal="center" vertical="center" wrapText="1"/>
    </xf>
    <xf numFmtId="3" fontId="28" fillId="0" borderId="24" xfId="78" applyNumberFormat="1" applyFont="1" applyFill="1" applyBorder="1"/>
    <xf numFmtId="3" fontId="25" fillId="0" borderId="75" xfId="78" applyNumberFormat="1" applyFont="1" applyBorder="1"/>
    <xf numFmtId="3" fontId="25" fillId="0" borderId="24" xfId="78" applyNumberFormat="1" applyFont="1" applyBorder="1"/>
    <xf numFmtId="3" fontId="25" fillId="0" borderId="120" xfId="78" applyNumberFormat="1" applyFont="1" applyBorder="1"/>
    <xf numFmtId="0" fontId="35" fillId="0" borderId="24" xfId="78" applyFont="1" applyBorder="1"/>
    <xf numFmtId="3" fontId="25" fillId="0" borderId="44" xfId="78" applyNumberFormat="1" applyFont="1" applyBorder="1" applyAlignment="1">
      <alignment horizontal="left" vertical="center" wrapText="1"/>
    </xf>
    <xf numFmtId="0" fontId="35" fillId="0" borderId="44" xfId="78" applyFont="1" applyBorder="1"/>
    <xf numFmtId="0" fontId="35" fillId="0" borderId="55" xfId="78" applyFont="1" applyBorder="1"/>
    <xf numFmtId="49" fontId="28" fillId="0" borderId="44" xfId="78" applyNumberFormat="1" applyFont="1" applyBorder="1" applyAlignment="1">
      <alignment horizontal="center" vertical="center" wrapText="1"/>
    </xf>
    <xf numFmtId="3" fontId="35" fillId="0" borderId="78" xfId="78" applyNumberFormat="1" applyFont="1" applyBorder="1"/>
    <xf numFmtId="3" fontId="35" fillId="0" borderId="44" xfId="78" applyNumberFormat="1" applyFont="1" applyBorder="1"/>
    <xf numFmtId="3" fontId="35" fillId="0" borderId="121" xfId="78" applyNumberFormat="1" applyFont="1" applyBorder="1"/>
    <xf numFmtId="49" fontId="28" fillId="0" borderId="106" xfId="78" applyNumberFormat="1" applyFont="1" applyBorder="1" applyAlignment="1">
      <alignment horizontal="center" vertical="center" wrapText="1"/>
    </xf>
    <xf numFmtId="3" fontId="35" fillId="0" borderId="31" xfId="78" applyNumberFormat="1" applyFont="1" applyBorder="1"/>
    <xf numFmtId="3" fontId="37" fillId="0" borderId="44" xfId="78" applyNumberFormat="1" applyFont="1" applyFill="1" applyBorder="1" applyAlignment="1">
      <alignment horizontal="left" vertical="center" wrapText="1"/>
    </xf>
    <xf numFmtId="0" fontId="31" fillId="0" borderId="24" xfId="0" applyFont="1" applyBorder="1" applyAlignment="1">
      <alignment vertical="center" wrapText="1"/>
    </xf>
    <xf numFmtId="0" fontId="61" fillId="0" borderId="24" xfId="78" applyFont="1" applyBorder="1"/>
    <xf numFmtId="3" fontId="61" fillId="0" borderId="75" xfId="78" applyNumberFormat="1" applyFont="1" applyBorder="1"/>
    <xf numFmtId="3" fontId="61" fillId="0" borderId="24" xfId="78" applyNumberFormat="1" applyFont="1" applyBorder="1"/>
    <xf numFmtId="3" fontId="61" fillId="0" borderId="120" xfId="78" applyNumberFormat="1" applyFont="1" applyBorder="1"/>
    <xf numFmtId="3" fontId="25" fillId="0" borderId="31" xfId="78" applyNumberFormat="1" applyFont="1" applyBorder="1" applyAlignment="1">
      <alignment vertical="center"/>
    </xf>
    <xf numFmtId="3" fontId="25" fillId="0" borderId="55" xfId="78" applyNumberFormat="1" applyFont="1" applyBorder="1" applyAlignment="1">
      <alignment vertical="center"/>
    </xf>
    <xf numFmtId="3" fontId="25" fillId="0" borderId="63" xfId="78" applyNumberFormat="1" applyFont="1" applyBorder="1" applyAlignment="1">
      <alignment vertical="center"/>
    </xf>
    <xf numFmtId="3" fontId="25" fillId="0" borderId="24" xfId="78" applyNumberFormat="1" applyFont="1" applyBorder="1" applyAlignment="1">
      <alignment horizontal="left" vertical="center" wrapText="1"/>
    </xf>
    <xf numFmtId="0" fontId="30" fillId="0" borderId="24" xfId="78" applyFont="1" applyBorder="1"/>
    <xf numFmtId="3" fontId="30" fillId="0" borderId="78" xfId="78" applyNumberFormat="1" applyFont="1" applyBorder="1"/>
    <xf numFmtId="3" fontId="30" fillId="0" borderId="44" xfId="78" applyNumberFormat="1" applyFont="1" applyBorder="1"/>
    <xf numFmtId="3" fontId="30" fillId="0" borderId="121" xfId="78" applyNumberFormat="1" applyFont="1" applyBorder="1"/>
    <xf numFmtId="0" fontId="30" fillId="0" borderId="44" xfId="78" applyFont="1" applyBorder="1"/>
    <xf numFmtId="3" fontId="30" fillId="0" borderId="31" xfId="78" applyNumberFormat="1" applyFont="1" applyBorder="1" applyAlignment="1">
      <alignment vertical="center"/>
    </xf>
    <xf numFmtId="3" fontId="30" fillId="0" borderId="55" xfId="78" applyNumberFormat="1" applyFont="1" applyBorder="1" applyAlignment="1">
      <alignment vertical="center"/>
    </xf>
    <xf numFmtId="3" fontId="30" fillId="0" borderId="63" xfId="78" applyNumberFormat="1" applyFont="1" applyBorder="1" applyAlignment="1">
      <alignment vertical="center"/>
    </xf>
    <xf numFmtId="0" fontId="30" fillId="0" borderId="31" xfId="78" applyFont="1" applyBorder="1"/>
    <xf numFmtId="0" fontId="30" fillId="0" borderId="55" xfId="78" applyFont="1" applyBorder="1"/>
    <xf numFmtId="3" fontId="121" fillId="0" borderId="24" xfId="78" applyNumberFormat="1" applyFont="1" applyBorder="1" applyAlignment="1">
      <alignment vertical="center"/>
    </xf>
    <xf numFmtId="3" fontId="121" fillId="0" borderId="120" xfId="78" applyNumberFormat="1" applyFont="1" applyBorder="1" applyAlignment="1">
      <alignment vertical="center"/>
    </xf>
    <xf numFmtId="3" fontId="121" fillId="0" borderId="75" xfId="78" applyNumberFormat="1" applyFont="1" applyBorder="1" applyAlignment="1">
      <alignment vertical="center"/>
    </xf>
    <xf numFmtId="3" fontId="138" fillId="0" borderId="75" xfId="78" applyNumberFormat="1" applyFont="1" applyBorder="1" applyAlignment="1">
      <alignment vertical="center"/>
    </xf>
    <xf numFmtId="3" fontId="138" fillId="0" borderId="24" xfId="78" applyNumberFormat="1" applyFont="1" applyBorder="1" applyAlignment="1">
      <alignment vertical="center"/>
    </xf>
    <xf numFmtId="3" fontId="138" fillId="0" borderId="120" xfId="78" applyNumberFormat="1" applyFont="1" applyBorder="1" applyAlignment="1">
      <alignment vertical="center"/>
    </xf>
    <xf numFmtId="3" fontId="28" fillId="0" borderId="44" xfId="78" applyNumberFormat="1" applyFont="1" applyBorder="1" applyAlignment="1">
      <alignment horizontal="left" vertical="center" wrapText="1"/>
    </xf>
    <xf numFmtId="3" fontId="121" fillId="0" borderId="24" xfId="78" applyNumberFormat="1" applyFont="1" applyBorder="1" applyAlignment="1">
      <alignment horizontal="left" vertical="center" wrapText="1"/>
    </xf>
    <xf numFmtId="3" fontId="121" fillId="0" borderId="24" xfId="78" applyNumberFormat="1" applyFont="1" applyBorder="1"/>
    <xf numFmtId="0" fontId="30" fillId="0" borderId="24" xfId="78" applyFont="1" applyBorder="1" applyAlignment="1">
      <alignment vertical="center"/>
    </xf>
    <xf numFmtId="0" fontId="30" fillId="0" borderId="31" xfId="78" applyFont="1" applyBorder="1" applyAlignment="1">
      <alignment vertical="center"/>
    </xf>
    <xf numFmtId="0" fontId="30" fillId="0" borderId="55" xfId="78" applyFont="1" applyBorder="1" applyAlignment="1">
      <alignment vertical="center"/>
    </xf>
    <xf numFmtId="3" fontId="84" fillId="0" borderId="75" xfId="78" applyNumberFormat="1" applyFont="1" applyBorder="1"/>
    <xf numFmtId="3" fontId="28" fillId="0" borderId="31" xfId="78" applyNumberFormat="1" applyFont="1" applyBorder="1"/>
    <xf numFmtId="49" fontId="28" fillId="0" borderId="25" xfId="78" applyNumberFormat="1" applyFont="1" applyBorder="1" applyAlignment="1">
      <alignment horizontal="center" vertical="center" wrapText="1"/>
    </xf>
    <xf numFmtId="3" fontId="28" fillId="0" borderId="25" xfId="78" applyNumberFormat="1" applyFont="1" applyBorder="1" applyAlignment="1">
      <alignment horizontal="left" vertical="center" wrapText="1"/>
    </xf>
    <xf numFmtId="3" fontId="28" fillId="0" borderId="25" xfId="78" applyNumberFormat="1" applyFont="1" applyBorder="1"/>
    <xf numFmtId="3" fontId="28" fillId="0" borderId="123" xfId="78" applyNumberFormat="1" applyFont="1" applyBorder="1"/>
    <xf numFmtId="3" fontId="25" fillId="0" borderId="59" xfId="78" applyNumberFormat="1" applyFont="1" applyBorder="1"/>
    <xf numFmtId="3" fontId="25" fillId="0" borderId="25" xfId="78" applyNumberFormat="1" applyFont="1" applyBorder="1"/>
    <xf numFmtId="3" fontId="25" fillId="0" borderId="123" xfId="78" applyNumberFormat="1" applyFont="1" applyBorder="1"/>
    <xf numFmtId="3" fontId="35" fillId="0" borderId="59" xfId="78" applyNumberFormat="1" applyFont="1" applyBorder="1"/>
    <xf numFmtId="3" fontId="35" fillId="0" borderId="25" xfId="78" applyNumberFormat="1" applyFont="1" applyBorder="1"/>
    <xf numFmtId="3" fontId="35" fillId="0" borderId="123" xfId="78" applyNumberFormat="1" applyFont="1" applyBorder="1"/>
    <xf numFmtId="0" fontId="35" fillId="0" borderId="25" xfId="78" applyFont="1" applyBorder="1"/>
    <xf numFmtId="3" fontId="28" fillId="0" borderId="0" xfId="78" applyNumberFormat="1" applyFont="1" applyBorder="1"/>
    <xf numFmtId="3" fontId="25" fillId="0" borderId="52" xfId="78" applyNumberFormat="1" applyFont="1" applyBorder="1"/>
    <xf numFmtId="0" fontId="82" fillId="0" borderId="0" xfId="0" applyFont="1" applyBorder="1"/>
    <xf numFmtId="0" fontId="85" fillId="0" borderId="0" xfId="0" applyFont="1" applyBorder="1"/>
    <xf numFmtId="0" fontId="85" fillId="0" borderId="0" xfId="0" applyFont="1" applyFill="1" applyBorder="1"/>
    <xf numFmtId="3" fontId="91" fillId="0" borderId="51" xfId="0" applyNumberFormat="1" applyFont="1" applyBorder="1" applyAlignment="1">
      <alignment horizontal="center" vertical="center" wrapText="1"/>
    </xf>
    <xf numFmtId="3" fontId="69" fillId="0" borderId="14" xfId="0" applyNumberFormat="1" applyFont="1" applyBorder="1" applyAlignment="1">
      <alignment horizontal="center" vertical="center" wrapText="1"/>
    </xf>
    <xf numFmtId="1" fontId="58" fillId="0" borderId="23" xfId="0" applyNumberFormat="1" applyFont="1" applyBorder="1" applyAlignment="1">
      <alignment horizontal="center" vertical="center"/>
    </xf>
    <xf numFmtId="0" fontId="58" fillId="0" borderId="23" xfId="0" applyFont="1" applyBorder="1" applyAlignment="1">
      <alignment horizontal="left" vertical="center" wrapText="1"/>
    </xf>
    <xf numFmtId="3" fontId="59" fillId="0" borderId="23" xfId="0" applyNumberFormat="1" applyFont="1" applyBorder="1" applyAlignment="1">
      <alignment horizontal="center" vertical="center" wrapText="1"/>
    </xf>
    <xf numFmtId="3" fontId="58" fillId="0" borderId="23" xfId="0" applyNumberFormat="1" applyFont="1" applyBorder="1" applyAlignment="1">
      <alignment horizontal="center" vertical="center" wrapText="1"/>
    </xf>
    <xf numFmtId="0" fontId="130" fillId="0" borderId="23" xfId="0" applyFont="1" applyBorder="1"/>
    <xf numFmtId="0" fontId="131" fillId="0" borderId="23" xfId="0" applyFont="1" applyBorder="1"/>
    <xf numFmtId="0" fontId="58" fillId="0" borderId="23" xfId="0" applyFont="1" applyBorder="1" applyAlignment="1">
      <alignment horizontal="left" vertical="center"/>
    </xf>
    <xf numFmtId="3" fontId="58" fillId="0" borderId="23" xfId="0" applyNumberFormat="1" applyFont="1" applyBorder="1" applyAlignment="1">
      <alignment horizontal="left" vertical="center" wrapText="1"/>
    </xf>
    <xf numFmtId="3" fontId="58" fillId="0" borderId="23" xfId="0" applyNumberFormat="1" applyFont="1" applyBorder="1" applyAlignment="1">
      <alignment horizontal="right" vertical="center" wrapText="1"/>
    </xf>
    <xf numFmtId="0" fontId="89" fillId="0" borderId="23" xfId="0" applyFont="1" applyBorder="1"/>
    <xf numFmtId="0" fontId="118" fillId="0" borderId="23" xfId="0" applyFont="1" applyBorder="1"/>
    <xf numFmtId="0" fontId="89" fillId="0" borderId="23" xfId="0" applyFont="1" applyBorder="1" applyAlignment="1">
      <alignment horizontal="center"/>
    </xf>
    <xf numFmtId="0" fontId="58" fillId="0" borderId="23" xfId="0" applyFont="1" applyFill="1" applyBorder="1"/>
    <xf numFmtId="0" fontId="57" fillId="0" borderId="23" xfId="0" applyFont="1" applyFill="1" applyBorder="1"/>
    <xf numFmtId="0" fontId="89" fillId="0" borderId="23" xfId="0" applyFont="1" applyFill="1" applyBorder="1"/>
    <xf numFmtId="0" fontId="110" fillId="0" borderId="23" xfId="0" applyFont="1" applyBorder="1"/>
    <xf numFmtId="3" fontId="58" fillId="0" borderId="23" xfId="0" applyNumberFormat="1" applyFont="1" applyBorder="1" applyAlignment="1">
      <alignment horizontal="right" vertical="center"/>
    </xf>
    <xf numFmtId="0" fontId="90" fillId="0" borderId="124" xfId="0" applyFont="1" applyBorder="1" applyAlignment="1">
      <alignment horizontal="center"/>
    </xf>
    <xf numFmtId="0" fontId="90" fillId="0" borderId="14" xfId="0" applyFont="1" applyBorder="1" applyAlignment="1">
      <alignment horizontal="center"/>
    </xf>
    <xf numFmtId="3" fontId="89" fillId="0" borderId="23" xfId="0" applyNumberFormat="1" applyFont="1" applyBorder="1" applyAlignment="1">
      <alignment horizontal="center"/>
    </xf>
    <xf numFmtId="3" fontId="59" fillId="0" borderId="85" xfId="0" applyNumberFormat="1" applyFont="1" applyBorder="1" applyAlignment="1">
      <alignment vertical="center"/>
    </xf>
    <xf numFmtId="3" fontId="69" fillId="0" borderId="126" xfId="0" applyNumberFormat="1" applyFont="1" applyBorder="1" applyAlignment="1">
      <alignment horizontal="center" vertical="center" wrapText="1"/>
    </xf>
    <xf numFmtId="3" fontId="59" fillId="0" borderId="114" xfId="0" applyNumberFormat="1" applyFont="1" applyBorder="1" applyAlignment="1">
      <alignment horizontal="center" vertical="center" wrapText="1"/>
    </xf>
    <xf numFmtId="3" fontId="58" fillId="0" borderId="114" xfId="0" applyNumberFormat="1" applyFont="1" applyBorder="1" applyAlignment="1">
      <alignment horizontal="center" vertical="center" wrapText="1"/>
    </xf>
    <xf numFmtId="3" fontId="59" fillId="0" borderId="85" xfId="0" applyNumberFormat="1" applyFont="1" applyBorder="1"/>
    <xf numFmtId="3" fontId="58" fillId="0" borderId="114" xfId="0" applyNumberFormat="1" applyFont="1" applyBorder="1" applyAlignment="1">
      <alignment vertical="center"/>
    </xf>
    <xf numFmtId="3" fontId="59" fillId="0" borderId="114" xfId="0" applyNumberFormat="1" applyFont="1" applyBorder="1"/>
    <xf numFmtId="3" fontId="59" fillId="0" borderId="85" xfId="0" applyNumberFormat="1" applyFont="1" applyFill="1" applyBorder="1"/>
    <xf numFmtId="3" fontId="59" fillId="0" borderId="85" xfId="0" applyNumberFormat="1" applyFont="1" applyBorder="1" applyAlignment="1">
      <alignment horizontal="right" vertical="center"/>
    </xf>
    <xf numFmtId="3" fontId="58" fillId="0" borderId="114" xfId="0" applyNumberFormat="1" applyFont="1" applyBorder="1"/>
    <xf numFmtId="3" fontId="58" fillId="0" borderId="114" xfId="0" applyNumberFormat="1" applyFont="1" applyFill="1" applyBorder="1"/>
    <xf numFmtId="3" fontId="58" fillId="0" borderId="114" xfId="0" applyNumberFormat="1" applyFont="1" applyBorder="1" applyAlignment="1">
      <alignment horizontal="right" vertical="center"/>
    </xf>
    <xf numFmtId="3" fontId="59" fillId="0" borderId="85" xfId="0" applyNumberFormat="1" applyFont="1" applyBorder="1" applyAlignment="1">
      <alignment horizontal="center" vertical="center" wrapText="1"/>
    </xf>
    <xf numFmtId="3" fontId="58" fillId="0" borderId="85" xfId="0" applyNumberFormat="1" applyFont="1" applyBorder="1" applyAlignment="1">
      <alignment horizontal="center" vertical="center" wrapText="1"/>
    </xf>
    <xf numFmtId="3" fontId="58" fillId="0" borderId="85" xfId="0" applyNumberFormat="1" applyFont="1" applyBorder="1"/>
    <xf numFmtId="3" fontId="58" fillId="0" borderId="85" xfId="0" applyNumberFormat="1" applyFont="1" applyFill="1" applyBorder="1"/>
    <xf numFmtId="3" fontId="58" fillId="0" borderId="85" xfId="0" applyNumberFormat="1" applyFont="1" applyBorder="1" applyAlignment="1">
      <alignment horizontal="right" vertical="center"/>
    </xf>
    <xf numFmtId="3" fontId="58" fillId="0" borderId="85" xfId="0" applyNumberFormat="1" applyFont="1" applyBorder="1" applyAlignment="1">
      <alignment vertical="center"/>
    </xf>
    <xf numFmtId="3" fontId="91" fillId="0" borderId="115" xfId="0" applyNumberFormat="1" applyFont="1" applyBorder="1" applyAlignment="1">
      <alignment horizontal="center" vertical="center" wrapText="1"/>
    </xf>
    <xf numFmtId="3" fontId="89" fillId="0" borderId="41" xfId="0" applyNumberFormat="1" applyFont="1" applyBorder="1" applyAlignment="1">
      <alignment horizontal="center"/>
    </xf>
    <xf numFmtId="3" fontId="58" fillId="0" borderId="85" xfId="0" applyNumberFormat="1" applyFont="1" applyBorder="1" applyAlignment="1">
      <alignment horizontal="right" vertical="center" wrapText="1"/>
    </xf>
    <xf numFmtId="3" fontId="58" fillId="0" borderId="114" xfId="0" applyNumberFormat="1" applyFont="1" applyBorder="1" applyAlignment="1">
      <alignment horizontal="right" vertical="center" wrapText="1"/>
    </xf>
    <xf numFmtId="3" fontId="89" fillId="0" borderId="114" xfId="0" applyNumberFormat="1" applyFont="1" applyBorder="1" applyAlignment="1">
      <alignment horizontal="center"/>
    </xf>
    <xf numFmtId="3" fontId="91" fillId="0" borderId="14" xfId="0" applyNumberFormat="1" applyFont="1" applyBorder="1" applyAlignment="1">
      <alignment horizontal="center" vertical="center" wrapText="1"/>
    </xf>
    <xf numFmtId="3" fontId="69" fillId="0" borderId="131" xfId="0" applyNumberFormat="1" applyFont="1" applyBorder="1" applyAlignment="1">
      <alignment horizontal="center" vertical="center" wrapText="1"/>
    </xf>
    <xf numFmtId="3" fontId="59" fillId="0" borderId="132" xfId="0" applyNumberFormat="1" applyFont="1" applyBorder="1" applyAlignment="1">
      <alignment horizontal="center" vertical="center" wrapText="1"/>
    </xf>
    <xf numFmtId="3" fontId="58" fillId="0" borderId="132" xfId="0" applyNumberFormat="1" applyFont="1" applyBorder="1" applyAlignment="1">
      <alignment horizontal="center" vertical="center" wrapText="1"/>
    </xf>
    <xf numFmtId="3" fontId="58" fillId="0" borderId="132" xfId="0" applyNumberFormat="1" applyFont="1" applyBorder="1" applyAlignment="1">
      <alignment horizontal="left" vertical="center" wrapText="1"/>
    </xf>
    <xf numFmtId="3" fontId="58" fillId="0" borderId="132" xfId="0" applyNumberFormat="1" applyFont="1" applyBorder="1"/>
    <xf numFmtId="3" fontId="58" fillId="0" borderId="132" xfId="0" applyNumberFormat="1" applyFont="1" applyFill="1" applyBorder="1"/>
    <xf numFmtId="3" fontId="58" fillId="0" borderId="132" xfId="0" applyNumberFormat="1" applyFont="1" applyBorder="1" applyAlignment="1">
      <alignment horizontal="right" vertical="center"/>
    </xf>
    <xf numFmtId="3" fontId="58" fillId="0" borderId="132" xfId="0" applyNumberFormat="1" applyFont="1" applyBorder="1" applyAlignment="1">
      <alignment vertical="center"/>
    </xf>
    <xf numFmtId="3" fontId="58" fillId="0" borderId="132" xfId="0" applyNumberFormat="1" applyFont="1" applyBorder="1" applyAlignment="1">
      <alignment horizontal="right" vertical="center" wrapText="1"/>
    </xf>
    <xf numFmtId="3" fontId="59" fillId="0" borderId="132" xfId="0" applyNumberFormat="1" applyFont="1" applyBorder="1"/>
    <xf numFmtId="3" fontId="25" fillId="0" borderId="24" xfId="0" applyNumberFormat="1" applyFont="1" applyBorder="1" applyAlignment="1">
      <alignment horizontal="center" vertical="center" wrapText="1"/>
    </xf>
    <xf numFmtId="3" fontId="69" fillId="0" borderId="24" xfId="0" applyNumberFormat="1" applyFont="1" applyBorder="1" applyAlignment="1">
      <alignment horizontal="center" vertical="center" wrapText="1"/>
    </xf>
    <xf numFmtId="3" fontId="25" fillId="0" borderId="23" xfId="0" applyNumberFormat="1" applyFont="1" applyBorder="1" applyAlignment="1">
      <alignment horizontal="center" vertical="center" wrapText="1"/>
    </xf>
    <xf numFmtId="3" fontId="69" fillId="0" borderId="23" xfId="0" applyNumberFormat="1" applyFont="1" applyBorder="1" applyAlignment="1">
      <alignment horizontal="center" vertical="center" wrapText="1"/>
    </xf>
    <xf numFmtId="0" fontId="20" fillId="0" borderId="23" xfId="0" applyFont="1" applyBorder="1"/>
    <xf numFmtId="0" fontId="44" fillId="0" borderId="23" xfId="0" applyFont="1" applyBorder="1" applyAlignment="1"/>
    <xf numFmtId="0" fontId="44" fillId="0" borderId="23" xfId="0" applyFont="1" applyBorder="1" applyAlignment="1">
      <alignment horizontal="center" wrapText="1"/>
    </xf>
    <xf numFmtId="0" fontId="43" fillId="0" borderId="23" xfId="0" applyFont="1" applyBorder="1" applyAlignment="1">
      <alignment horizontal="left"/>
    </xf>
    <xf numFmtId="0" fontId="43" fillId="0" borderId="23" xfId="0" applyFont="1" applyBorder="1" applyAlignment="1">
      <alignment horizontal="left" wrapText="1"/>
    </xf>
    <xf numFmtId="0" fontId="43" fillId="0" borderId="23" xfId="0" applyFont="1" applyFill="1" applyBorder="1" applyAlignment="1">
      <alignment horizontal="left" wrapText="1"/>
    </xf>
    <xf numFmtId="3" fontId="44" fillId="0" borderId="23" xfId="0" applyNumberFormat="1" applyFont="1" applyBorder="1"/>
    <xf numFmtId="0" fontId="44" fillId="0" borderId="23" xfId="0" applyFont="1" applyBorder="1"/>
    <xf numFmtId="0" fontId="43" fillId="0" borderId="24" xfId="0" applyFont="1" applyBorder="1"/>
    <xf numFmtId="0" fontId="44" fillId="0" borderId="24" xfId="0" applyFont="1" applyBorder="1" applyAlignment="1">
      <alignment vertical="center" wrapText="1"/>
    </xf>
    <xf numFmtId="0" fontId="44" fillId="0" borderId="24" xfId="0" applyFont="1" applyBorder="1"/>
    <xf numFmtId="0" fontId="20" fillId="0" borderId="24" xfId="0" applyFont="1" applyBorder="1"/>
    <xf numFmtId="0" fontId="43" fillId="0" borderId="106" xfId="0" applyFont="1" applyBorder="1" applyAlignment="1">
      <alignment horizontal="center" vertical="center"/>
    </xf>
    <xf numFmtId="0" fontId="44" fillId="0" borderId="31" xfId="0" applyFont="1" applyBorder="1"/>
    <xf numFmtId="0" fontId="44" fillId="0" borderId="31" xfId="0" applyFont="1" applyBorder="1" applyAlignment="1">
      <alignment wrapText="1"/>
    </xf>
    <xf numFmtId="0" fontId="53" fillId="0" borderId="31" xfId="0" applyFont="1" applyBorder="1"/>
    <xf numFmtId="0" fontId="53" fillId="0" borderId="55" xfId="0" applyFont="1" applyBorder="1"/>
    <xf numFmtId="3" fontId="69" fillId="0" borderId="23" xfId="0" applyNumberFormat="1" applyFont="1" applyBorder="1" applyAlignment="1">
      <alignment horizontal="center" vertical="center" wrapText="1"/>
    </xf>
    <xf numFmtId="0" fontId="25" fillId="0" borderId="63" xfId="0" applyFont="1" applyBorder="1"/>
    <xf numFmtId="0" fontId="64" fillId="0" borderId="0" xfId="0" applyFont="1" applyBorder="1"/>
    <xf numFmtId="0" fontId="92" fillId="0" borderId="0" xfId="0" applyFont="1" applyBorder="1"/>
    <xf numFmtId="16" fontId="57" fillId="0" borderId="0" xfId="0" applyNumberFormat="1" applyFont="1" applyBorder="1"/>
    <xf numFmtId="3" fontId="58" fillId="0" borderId="0" xfId="74" applyNumberFormat="1" applyFont="1" applyBorder="1"/>
    <xf numFmtId="0" fontId="28" fillId="0" borderId="0" xfId="0" applyFont="1" applyBorder="1"/>
    <xf numFmtId="3" fontId="139" fillId="0" borderId="0" xfId="0" applyNumberFormat="1" applyFont="1" applyBorder="1"/>
    <xf numFmtId="3" fontId="59" fillId="0" borderId="0" xfId="0" applyNumberFormat="1" applyFont="1" applyBorder="1"/>
    <xf numFmtId="0" fontId="34" fillId="0" borderId="0" xfId="0" applyFont="1" applyBorder="1"/>
    <xf numFmtId="3" fontId="137" fillId="0" borderId="0" xfId="0" applyNumberFormat="1" applyFont="1" applyBorder="1"/>
    <xf numFmtId="0" fontId="25" fillId="0" borderId="0" xfId="0" applyFont="1" applyBorder="1" applyAlignment="1">
      <alignment wrapText="1"/>
    </xf>
    <xf numFmtId="3" fontId="30" fillId="0" borderId="0" xfId="0" applyNumberFormat="1" applyFont="1" applyBorder="1"/>
    <xf numFmtId="3" fontId="64" fillId="0" borderId="0" xfId="0" applyNumberFormat="1" applyFont="1" applyBorder="1"/>
    <xf numFmtId="3" fontId="57" fillId="0" borderId="0" xfId="0" applyNumberFormat="1" applyFont="1" applyBorder="1" applyAlignment="1">
      <alignment wrapText="1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vertical="center" wrapText="1"/>
    </xf>
    <xf numFmtId="3" fontId="58" fillId="0" borderId="0" xfId="0" applyNumberFormat="1" applyFont="1" applyBorder="1" applyAlignment="1">
      <alignment vertical="center"/>
    </xf>
    <xf numFmtId="3" fontId="59" fillId="0" borderId="0" xfId="0" applyNumberFormat="1" applyFont="1" applyBorder="1" applyAlignment="1">
      <alignment wrapText="1"/>
    </xf>
    <xf numFmtId="3" fontId="58" fillId="0" borderId="0" xfId="0" applyNumberFormat="1" applyFont="1" applyBorder="1" applyAlignment="1">
      <alignment wrapText="1"/>
    </xf>
    <xf numFmtId="3" fontId="92" fillId="0" borderId="0" xfId="0" applyNumberFormat="1" applyFont="1" applyBorder="1" applyAlignment="1">
      <alignment wrapText="1"/>
    </xf>
    <xf numFmtId="3" fontId="92" fillId="0" borderId="0" xfId="0" applyNumberFormat="1" applyFont="1" applyBorder="1"/>
    <xf numFmtId="3" fontId="82" fillId="0" borderId="0" xfId="0" applyNumberFormat="1" applyFont="1" applyBorder="1"/>
    <xf numFmtId="0" fontId="38" fillId="0" borderId="0" xfId="0" applyFont="1" applyBorder="1"/>
    <xf numFmtId="0" fontId="66" fillId="0" borderId="0" xfId="0" applyFont="1" applyBorder="1"/>
    <xf numFmtId="3" fontId="39" fillId="0" borderId="0" xfId="0" applyNumberFormat="1" applyFont="1" applyBorder="1"/>
    <xf numFmtId="0" fontId="30" fillId="0" borderId="0" xfId="0" applyFont="1" applyBorder="1"/>
    <xf numFmtId="0" fontId="25" fillId="0" borderId="23" xfId="0" applyFont="1" applyBorder="1" applyAlignment="1">
      <alignment horizontal="center" vertical="center"/>
    </xf>
    <xf numFmtId="3" fontId="25" fillId="0" borderId="23" xfId="0" applyNumberFormat="1" applyFont="1" applyBorder="1" applyAlignment="1">
      <alignment horizontal="center" vertical="center"/>
    </xf>
    <xf numFmtId="3" fontId="25" fillId="0" borderId="85" xfId="0" applyNumberFormat="1" applyFont="1" applyBorder="1" applyAlignment="1">
      <alignment horizontal="center" vertical="center"/>
    </xf>
    <xf numFmtId="3" fontId="25" fillId="0" borderId="59" xfId="0" applyNumberFormat="1" applyFont="1" applyBorder="1"/>
    <xf numFmtId="3" fontId="58" fillId="0" borderId="59" xfId="74" applyNumberFormat="1" applyFont="1" applyBorder="1"/>
    <xf numFmtId="3" fontId="30" fillId="0" borderId="59" xfId="0" applyNumberFormat="1" applyFont="1" applyBorder="1"/>
    <xf numFmtId="3" fontId="58" fillId="0" borderId="59" xfId="0" applyNumberFormat="1" applyFont="1" applyBorder="1" applyAlignment="1">
      <alignment vertical="center"/>
    </xf>
    <xf numFmtId="3" fontId="58" fillId="0" borderId="59" xfId="0" applyNumberFormat="1" applyFont="1" applyBorder="1" applyAlignment="1">
      <alignment wrapText="1"/>
    </xf>
    <xf numFmtId="3" fontId="69" fillId="0" borderId="85" xfId="0" applyNumberFormat="1" applyFont="1" applyBorder="1" applyAlignment="1">
      <alignment horizontal="center" vertical="center" wrapText="1"/>
    </xf>
    <xf numFmtId="3" fontId="25" fillId="0" borderId="75" xfId="0" applyNumberFormat="1" applyFont="1" applyBorder="1"/>
    <xf numFmtId="3" fontId="35" fillId="0" borderId="59" xfId="0" applyNumberFormat="1" applyFont="1" applyBorder="1"/>
    <xf numFmtId="3" fontId="39" fillId="0" borderId="59" xfId="0" applyNumberFormat="1" applyFont="1" applyBorder="1"/>
    <xf numFmtId="0" fontId="30" fillId="0" borderId="59" xfId="0" applyFont="1" applyBorder="1"/>
    <xf numFmtId="0" fontId="28" fillId="0" borderId="75" xfId="0" applyFont="1" applyBorder="1"/>
    <xf numFmtId="0" fontId="28" fillId="0" borderId="59" xfId="0" applyFont="1" applyBorder="1"/>
    <xf numFmtId="0" fontId="38" fillId="0" borderId="59" xfId="0" applyFont="1" applyBorder="1"/>
    <xf numFmtId="0" fontId="25" fillId="0" borderId="59" xfId="0" applyFont="1" applyBorder="1"/>
    <xf numFmtId="0" fontId="35" fillId="0" borderId="59" xfId="0" applyFont="1" applyBorder="1"/>
    <xf numFmtId="0" fontId="66" fillId="0" borderId="59" xfId="0" applyFont="1" applyBorder="1"/>
    <xf numFmtId="0" fontId="25" fillId="0" borderId="26" xfId="0" applyFont="1" applyBorder="1"/>
    <xf numFmtId="3" fontId="30" fillId="0" borderId="26" xfId="0" applyNumberFormat="1" applyFont="1" applyBorder="1"/>
    <xf numFmtId="3" fontId="30" fillId="0" borderId="63" xfId="0" applyNumberFormat="1" applyFont="1" applyFill="1" applyBorder="1"/>
    <xf numFmtId="3" fontId="30" fillId="0" borderId="26" xfId="0" applyNumberFormat="1" applyFont="1" applyFill="1" applyBorder="1"/>
    <xf numFmtId="3" fontId="34" fillId="0" borderId="0" xfId="0" applyNumberFormat="1" applyFont="1" applyBorder="1"/>
    <xf numFmtId="3" fontId="39" fillId="0" borderId="0" xfId="74" applyNumberFormat="1" applyFont="1" applyBorder="1"/>
    <xf numFmtId="0" fontId="68" fillId="0" borderId="0" xfId="0" applyFont="1" applyBorder="1"/>
    <xf numFmtId="3" fontId="59" fillId="0" borderId="0" xfId="0" applyNumberFormat="1" applyFont="1" applyBorder="1" applyAlignment="1">
      <alignment vertical="center"/>
    </xf>
    <xf numFmtId="3" fontId="58" fillId="0" borderId="0" xfId="0" applyNumberFormat="1" applyFont="1" applyBorder="1" applyAlignment="1">
      <alignment vertical="center" wrapText="1"/>
    </xf>
    <xf numFmtId="3" fontId="127" fillId="0" borderId="0" xfId="0" applyNumberFormat="1" applyFont="1" applyBorder="1"/>
    <xf numFmtId="3" fontId="39" fillId="0" borderId="59" xfId="74" applyNumberFormat="1" applyFont="1" applyBorder="1"/>
    <xf numFmtId="3" fontId="58" fillId="0" borderId="59" xfId="0" applyNumberFormat="1" applyFont="1" applyBorder="1" applyAlignment="1">
      <alignment vertical="center" wrapText="1"/>
    </xf>
    <xf numFmtId="0" fontId="25" fillId="0" borderId="72" xfId="0" applyFont="1" applyBorder="1" applyAlignment="1">
      <alignment horizontal="center" vertical="center"/>
    </xf>
    <xf numFmtId="3" fontId="69" fillId="0" borderId="72" xfId="0" applyNumberFormat="1" applyFont="1" applyBorder="1" applyAlignment="1">
      <alignment horizontal="center" vertical="center" wrapText="1"/>
    </xf>
    <xf numFmtId="3" fontId="69" fillId="0" borderId="73" xfId="0" applyNumberFormat="1" applyFont="1" applyBorder="1" applyAlignment="1">
      <alignment horizontal="center" vertical="center" wrapText="1"/>
    </xf>
    <xf numFmtId="3" fontId="69" fillId="0" borderId="134" xfId="0" applyNumberFormat="1" applyFont="1" applyBorder="1" applyAlignment="1">
      <alignment horizontal="center" vertical="center" wrapText="1"/>
    </xf>
    <xf numFmtId="3" fontId="69" fillId="0" borderId="105" xfId="0" applyNumberFormat="1" applyFont="1" applyBorder="1" applyAlignment="1">
      <alignment horizontal="center" vertical="center" wrapText="1"/>
    </xf>
    <xf numFmtId="3" fontId="25" fillId="0" borderId="135" xfId="0" applyNumberFormat="1" applyFont="1" applyBorder="1" applyAlignment="1">
      <alignment horizontal="center" vertical="center"/>
    </xf>
    <xf numFmtId="0" fontId="35" fillId="0" borderId="75" xfId="0" applyFont="1" applyBorder="1"/>
    <xf numFmtId="3" fontId="35" fillId="0" borderId="59" xfId="74" applyNumberFormat="1" applyFont="1" applyBorder="1"/>
    <xf numFmtId="3" fontId="57" fillId="0" borderId="0" xfId="74" applyNumberFormat="1" applyFont="1" applyBorder="1"/>
    <xf numFmtId="0" fontId="57" fillId="0" borderId="0" xfId="0" applyFont="1" applyBorder="1" applyAlignment="1">
      <alignment wrapText="1"/>
    </xf>
    <xf numFmtId="3" fontId="68" fillId="0" borderId="0" xfId="0" applyNumberFormat="1" applyFont="1" applyBorder="1"/>
    <xf numFmtId="3" fontId="66" fillId="0" borderId="0" xfId="0" applyNumberFormat="1" applyFont="1" applyBorder="1"/>
    <xf numFmtId="3" fontId="38" fillId="0" borderId="0" xfId="0" applyNumberFormat="1" applyFont="1" applyBorder="1"/>
    <xf numFmtId="3" fontId="64" fillId="0" borderId="0" xfId="0" applyNumberFormat="1" applyFont="1" applyBorder="1" applyAlignment="1">
      <alignment wrapText="1"/>
    </xf>
    <xf numFmtId="3" fontId="57" fillId="0" borderId="59" xfId="74" applyNumberFormat="1" applyFont="1" applyBorder="1"/>
    <xf numFmtId="3" fontId="68" fillId="0" borderId="59" xfId="0" applyNumberFormat="1" applyFont="1" applyBorder="1"/>
    <xf numFmtId="3" fontId="66" fillId="0" borderId="59" xfId="0" applyNumberFormat="1" applyFont="1" applyBorder="1"/>
    <xf numFmtId="3" fontId="64" fillId="0" borderId="59" xfId="0" applyNumberFormat="1" applyFont="1" applyBorder="1" applyAlignment="1">
      <alignment wrapText="1"/>
    </xf>
    <xf numFmtId="3" fontId="34" fillId="0" borderId="59" xfId="0" applyNumberFormat="1" applyFont="1" applyBorder="1"/>
    <xf numFmtId="3" fontId="38" fillId="0" borderId="59" xfId="0" applyNumberFormat="1" applyFont="1" applyBorder="1"/>
    <xf numFmtId="3" fontId="25" fillId="0" borderId="63" xfId="0" applyNumberFormat="1" applyFont="1" applyBorder="1"/>
    <xf numFmtId="3" fontId="96" fillId="0" borderId="0" xfId="0" applyNumberFormat="1" applyFont="1" applyBorder="1"/>
    <xf numFmtId="0" fontId="25" fillId="0" borderId="23" xfId="0" applyFont="1" applyBorder="1" applyAlignment="1">
      <alignment horizontal="center" vertical="center" wrapText="1"/>
    </xf>
    <xf numFmtId="3" fontId="93" fillId="0" borderId="23" xfId="0" applyNumberFormat="1" applyFont="1" applyBorder="1" applyAlignment="1">
      <alignment horizontal="center" vertical="center" wrapText="1"/>
    </xf>
    <xf numFmtId="3" fontId="35" fillId="0" borderId="75" xfId="0" applyNumberFormat="1" applyFont="1" applyBorder="1"/>
    <xf numFmtId="3" fontId="63" fillId="0" borderId="0" xfId="74" applyNumberFormat="1" applyFont="1" applyBorder="1"/>
    <xf numFmtId="3" fontId="63" fillId="0" borderId="59" xfId="74" applyNumberFormat="1" applyFont="1" applyBorder="1"/>
    <xf numFmtId="3" fontId="34" fillId="0" borderId="0" xfId="0" applyNumberFormat="1" applyFont="1" applyBorder="1" applyAlignment="1">
      <alignment horizontal="right"/>
    </xf>
    <xf numFmtId="0" fontId="28" fillId="0" borderId="23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3" fontId="25" fillId="0" borderId="23" xfId="0" applyNumberFormat="1" applyFont="1" applyBorder="1" applyAlignment="1">
      <alignment horizontal="center" vertical="center"/>
    </xf>
    <xf numFmtId="3" fontId="64" fillId="0" borderId="23" xfId="0" applyNumberFormat="1" applyFont="1" applyBorder="1" applyAlignment="1">
      <alignment horizontal="center" vertical="center"/>
    </xf>
    <xf numFmtId="0" fontId="64" fillId="0" borderId="0" xfId="0" applyFont="1" applyBorder="1" applyAlignment="1">
      <alignment horizontal="center"/>
    </xf>
    <xf numFmtId="0" fontId="69" fillId="0" borderId="0" xfId="0" applyFont="1" applyBorder="1" applyAlignment="1">
      <alignment horizontal="center"/>
    </xf>
    <xf numFmtId="0" fontId="25" fillId="0" borderId="0" xfId="0" applyFont="1" applyBorder="1" applyAlignment="1">
      <alignment horizontal="right"/>
    </xf>
    <xf numFmtId="0" fontId="64" fillId="0" borderId="23" xfId="0" applyFont="1" applyBorder="1" applyAlignment="1">
      <alignment horizontal="center" vertical="center"/>
    </xf>
    <xf numFmtId="0" fontId="59" fillId="0" borderId="18" xfId="0" applyFont="1" applyBorder="1" applyAlignment="1">
      <alignment horizontal="center" vertical="center"/>
    </xf>
    <xf numFmtId="0" fontId="59" fillId="0" borderId="0" xfId="0" applyFont="1" applyBorder="1" applyAlignment="1">
      <alignment horizontal="center" vertical="center"/>
    </xf>
    <xf numFmtId="0" fontId="30" fillId="0" borderId="39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0" fillId="0" borderId="60" xfId="0" applyFont="1" applyBorder="1" applyAlignment="1">
      <alignment horizontal="center" vertical="center"/>
    </xf>
    <xf numFmtId="3" fontId="59" fillId="0" borderId="11" xfId="0" applyNumberFormat="1" applyFont="1" applyBorder="1" applyAlignment="1">
      <alignment horizontal="center" vertical="center"/>
    </xf>
    <xf numFmtId="3" fontId="59" fillId="0" borderId="28" xfId="0" applyNumberFormat="1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5" fillId="0" borderId="11" xfId="0" applyFont="1" applyBorder="1" applyAlignment="1">
      <alignment horizontal="center" vertical="center" wrapText="1"/>
    </xf>
    <xf numFmtId="0" fontId="35" fillId="0" borderId="47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3" fontId="30" fillId="0" borderId="82" xfId="0" applyNumberFormat="1" applyFont="1" applyBorder="1" applyAlignment="1">
      <alignment horizontal="center" vertical="center"/>
    </xf>
    <xf numFmtId="3" fontId="74" fillId="0" borderId="23" xfId="0" applyNumberFormat="1" applyFont="1" applyBorder="1" applyAlignment="1">
      <alignment horizontal="center" vertical="center"/>
    </xf>
    <xf numFmtId="3" fontId="64" fillId="0" borderId="11" xfId="0" applyNumberFormat="1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right"/>
    </xf>
    <xf numFmtId="0" fontId="28" fillId="0" borderId="47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3" fontId="109" fillId="0" borderId="31" xfId="71" applyNumberFormat="1" applyFont="1" applyBorder="1" applyAlignment="1">
      <alignment horizontal="right" vertical="center"/>
    </xf>
    <xf numFmtId="3" fontId="109" fillId="0" borderId="55" xfId="71" applyNumberFormat="1" applyFont="1" applyBorder="1" applyAlignment="1">
      <alignment horizontal="right" vertical="center"/>
    </xf>
    <xf numFmtId="0" fontId="155" fillId="0" borderId="0" xfId="75" applyFont="1" applyAlignment="1">
      <alignment horizontal="right"/>
    </xf>
    <xf numFmtId="0" fontId="157" fillId="0" borderId="0" xfId="71" applyFont="1" applyAlignment="1">
      <alignment horizontal="right" vertical="center"/>
    </xf>
    <xf numFmtId="0" fontId="109" fillId="0" borderId="0" xfId="71" applyFont="1" applyAlignment="1">
      <alignment horizontal="center" vertical="center"/>
    </xf>
    <xf numFmtId="0" fontId="1" fillId="0" borderId="0" xfId="70" applyFont="1" applyAlignment="1">
      <alignment vertical="center"/>
    </xf>
    <xf numFmtId="0" fontId="158" fillId="0" borderId="83" xfId="71" applyFont="1" applyFill="1" applyBorder="1" applyAlignment="1">
      <alignment horizontal="center" vertical="center"/>
    </xf>
    <xf numFmtId="0" fontId="158" fillId="0" borderId="84" xfId="71" applyFont="1" applyFill="1" applyBorder="1" applyAlignment="1">
      <alignment horizontal="center" vertical="center"/>
    </xf>
    <xf numFmtId="3" fontId="158" fillId="0" borderId="45" xfId="71" applyNumberFormat="1" applyFont="1" applyFill="1" applyBorder="1" applyAlignment="1">
      <alignment horizontal="center" vertical="center"/>
    </xf>
    <xf numFmtId="3" fontId="158" fillId="0" borderId="26" xfId="71" applyNumberFormat="1" applyFont="1" applyFill="1" applyBorder="1" applyAlignment="1">
      <alignment horizontal="center" vertical="center"/>
    </xf>
    <xf numFmtId="3" fontId="158" fillId="0" borderId="45" xfId="71" applyNumberFormat="1" applyFont="1" applyFill="1" applyBorder="1" applyAlignment="1">
      <alignment horizontal="center" vertical="center" wrapText="1"/>
    </xf>
    <xf numFmtId="3" fontId="158" fillId="0" borderId="26" xfId="71" applyNumberFormat="1" applyFont="1" applyFill="1" applyBorder="1" applyAlignment="1">
      <alignment horizontal="center" vertical="center" wrapText="1"/>
    </xf>
    <xf numFmtId="3" fontId="158" fillId="0" borderId="71" xfId="71" applyNumberFormat="1" applyFont="1" applyFill="1" applyBorder="1" applyAlignment="1">
      <alignment horizontal="center" vertical="center" wrapText="1"/>
    </xf>
    <xf numFmtId="0" fontId="27" fillId="0" borderId="0" xfId="75" applyFont="1" applyAlignment="1">
      <alignment horizontal="right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75" fillId="0" borderId="83" xfId="71" applyFont="1" applyFill="1" applyBorder="1" applyAlignment="1">
      <alignment horizontal="center" vertical="center"/>
    </xf>
    <xf numFmtId="0" fontId="75" fillId="0" borderId="84" xfId="71" applyFont="1" applyFill="1" applyBorder="1" applyAlignment="1">
      <alignment horizontal="center" vertical="center"/>
    </xf>
    <xf numFmtId="3" fontId="75" fillId="0" borderId="45" xfId="71" applyNumberFormat="1" applyFont="1" applyFill="1" applyBorder="1" applyAlignment="1">
      <alignment horizontal="center" vertical="center"/>
    </xf>
    <xf numFmtId="3" fontId="75" fillId="0" borderId="26" xfId="71" applyNumberFormat="1" applyFont="1" applyFill="1" applyBorder="1" applyAlignment="1">
      <alignment horizontal="center" vertical="center"/>
    </xf>
    <xf numFmtId="0" fontId="32" fillId="0" borderId="0" xfId="71" applyFont="1" applyAlignment="1">
      <alignment horizontal="right" vertical="center"/>
    </xf>
    <xf numFmtId="3" fontId="27" fillId="0" borderId="0" xfId="0" applyNumberFormat="1" applyFont="1" applyBorder="1" applyAlignment="1">
      <alignment horizontal="right" vertical="top" wrapText="1"/>
    </xf>
    <xf numFmtId="0" fontId="81" fillId="0" borderId="23" xfId="0" applyFont="1" applyBorder="1" applyAlignment="1"/>
    <xf numFmtId="0" fontId="24" fillId="0" borderId="11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8" fillId="0" borderId="13" xfId="0" applyFont="1" applyBorder="1" applyAlignment="1">
      <alignment horizontal="right"/>
    </xf>
    <xf numFmtId="0" fontId="0" fillId="0" borderId="13" xfId="0" applyBorder="1" applyAlignment="1"/>
    <xf numFmtId="0" fontId="26" fillId="0" borderId="0" xfId="0" applyFont="1" applyAlignment="1">
      <alignment horizontal="center"/>
    </xf>
    <xf numFmtId="0" fontId="34" fillId="0" borderId="0" xfId="0" applyFont="1" applyBorder="1" applyAlignment="1">
      <alignment horizontal="right"/>
    </xf>
    <xf numFmtId="0" fontId="25" fillId="0" borderId="27" xfId="0" applyFont="1" applyBorder="1" applyAlignment="1">
      <alignment horizontal="center" vertical="center"/>
    </xf>
    <xf numFmtId="0" fontId="25" fillId="0" borderId="105" xfId="0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3" xfId="0" applyFont="1" applyBorder="1" applyAlignment="1">
      <alignment horizontal="right"/>
    </xf>
    <xf numFmtId="0" fontId="67" fillId="0" borderId="13" xfId="0" applyFont="1" applyBorder="1" applyAlignment="1">
      <alignment horizontal="right"/>
    </xf>
    <xf numFmtId="3" fontId="148" fillId="0" borderId="31" xfId="71" applyNumberFormat="1" applyFont="1" applyBorder="1" applyAlignment="1">
      <alignment horizontal="right" vertical="center"/>
    </xf>
    <xf numFmtId="3" fontId="148" fillId="0" borderId="55" xfId="71" applyNumberFormat="1" applyFont="1" applyBorder="1" applyAlignment="1">
      <alignment horizontal="right" vertical="center"/>
    </xf>
    <xf numFmtId="0" fontId="116" fillId="0" borderId="0" xfId="71" applyFont="1" applyAlignment="1">
      <alignment horizontal="right" vertical="center"/>
    </xf>
    <xf numFmtId="3" fontId="75" fillId="0" borderId="45" xfId="71" applyNumberFormat="1" applyFont="1" applyFill="1" applyBorder="1" applyAlignment="1">
      <alignment horizontal="center" vertical="center" wrapText="1"/>
    </xf>
    <xf numFmtId="3" fontId="75" fillId="0" borderId="26" xfId="71" applyNumberFormat="1" applyFont="1" applyFill="1" applyBorder="1" applyAlignment="1">
      <alignment horizontal="center" vertical="center" wrapText="1"/>
    </xf>
    <xf numFmtId="3" fontId="75" fillId="0" borderId="71" xfId="71" applyNumberFormat="1" applyFont="1" applyFill="1" applyBorder="1" applyAlignment="1">
      <alignment horizontal="center" vertical="center" wrapText="1"/>
    </xf>
    <xf numFmtId="0" fontId="25" fillId="0" borderId="0" xfId="76" applyFont="1" applyBorder="1" applyAlignment="1">
      <alignment horizontal="center"/>
    </xf>
    <xf numFmtId="0" fontId="34" fillId="0" borderId="23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5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3" fontId="29" fillId="0" borderId="77" xfId="0" applyNumberFormat="1" applyFont="1" applyBorder="1" applyAlignment="1">
      <alignment horizontal="right"/>
    </xf>
    <xf numFmtId="0" fontId="0" fillId="0" borderId="77" xfId="0" applyBorder="1" applyAlignment="1"/>
    <xf numFmtId="0" fontId="29" fillId="0" borderId="23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center" vertical="center" wrapText="1"/>
    </xf>
    <xf numFmtId="0" fontId="109" fillId="0" borderId="23" xfId="0" applyFont="1" applyBorder="1" applyAlignment="1">
      <alignment horizontal="center" vertical="center" wrapText="1"/>
    </xf>
    <xf numFmtId="0" fontId="109" fillId="0" borderId="24" xfId="0" applyFont="1" applyBorder="1" applyAlignment="1">
      <alignment horizontal="center" vertical="center" wrapText="1"/>
    </xf>
    <xf numFmtId="3" fontId="109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25" fillId="0" borderId="23" xfId="0" applyNumberFormat="1" applyFont="1" applyBorder="1" applyAlignment="1">
      <alignment horizontal="center" vertical="center" wrapText="1"/>
    </xf>
    <xf numFmtId="3" fontId="25" fillId="0" borderId="24" xfId="0" applyNumberFormat="1" applyFont="1" applyBorder="1" applyAlignment="1">
      <alignment horizontal="center" vertical="center" wrapText="1"/>
    </xf>
    <xf numFmtId="3" fontId="25" fillId="0" borderId="77" xfId="78" applyNumberFormat="1" applyFont="1" applyBorder="1" applyAlignment="1">
      <alignment horizontal="center" vertical="center"/>
    </xf>
    <xf numFmtId="3" fontId="25" fillId="0" borderId="118" xfId="78" applyNumberFormat="1" applyFont="1" applyBorder="1" applyAlignment="1">
      <alignment horizontal="center" vertical="center"/>
    </xf>
    <xf numFmtId="3" fontId="25" fillId="0" borderId="110" xfId="78" applyNumberFormat="1" applyFont="1" applyBorder="1" applyAlignment="1">
      <alignment horizontal="center" vertical="center"/>
    </xf>
    <xf numFmtId="3" fontId="25" fillId="0" borderId="111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center" vertical="center"/>
    </xf>
    <xf numFmtId="3" fontId="25" fillId="0" borderId="47" xfId="0" applyNumberFormat="1" applyFont="1" applyBorder="1" applyAlignment="1">
      <alignment horizontal="center" vertical="center" wrapText="1"/>
    </xf>
    <xf numFmtId="3" fontId="25" fillId="0" borderId="22" xfId="0" applyNumberFormat="1" applyFont="1" applyBorder="1" applyAlignment="1">
      <alignment horizontal="center" vertical="center" wrapText="1"/>
    </xf>
    <xf numFmtId="3" fontId="25" fillId="0" borderId="115" xfId="0" applyNumberFormat="1" applyFont="1" applyBorder="1" applyAlignment="1">
      <alignment horizontal="center" vertical="center" wrapText="1"/>
    </xf>
    <xf numFmtId="3" fontId="25" fillId="0" borderId="117" xfId="0" applyNumberFormat="1" applyFont="1" applyBorder="1" applyAlignment="1">
      <alignment horizontal="center" vertical="center" wrapText="1"/>
    </xf>
    <xf numFmtId="3" fontId="25" fillId="0" borderId="114" xfId="0" applyNumberFormat="1" applyFont="1" applyBorder="1" applyAlignment="1">
      <alignment horizontal="center" vertical="center" wrapText="1"/>
    </xf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56" xfId="78" applyNumberFormat="1" applyFont="1" applyBorder="1" applyAlignment="1">
      <alignment horizontal="right"/>
    </xf>
    <xf numFmtId="0" fontId="0" fillId="0" borderId="56" xfId="0" applyBorder="1" applyAlignment="1"/>
    <xf numFmtId="49" fontId="25" fillId="0" borderId="86" xfId="78" applyNumberFormat="1" applyFont="1" applyBorder="1" applyAlignment="1">
      <alignment horizontal="center" vertical="center" textRotation="255" wrapText="1"/>
    </xf>
    <xf numFmtId="49" fontId="25" fillId="0" borderId="109" xfId="78" applyNumberFormat="1" applyFont="1" applyBorder="1" applyAlignment="1">
      <alignment horizontal="center" vertical="center" textRotation="255" wrapText="1"/>
    </xf>
    <xf numFmtId="3" fontId="25" fillId="0" borderId="33" xfId="78" applyNumberFormat="1" applyFont="1" applyBorder="1" applyAlignment="1">
      <alignment horizontal="center" vertical="center" wrapText="1"/>
    </xf>
    <xf numFmtId="3" fontId="25" fillId="0" borderId="47" xfId="78" applyNumberFormat="1" applyFont="1" applyBorder="1" applyAlignment="1">
      <alignment horizontal="center" vertical="center" wrapText="1"/>
    </xf>
    <xf numFmtId="3" fontId="25" fillId="0" borderId="85" xfId="0" applyNumberFormat="1" applyFont="1" applyBorder="1" applyAlignment="1">
      <alignment horizontal="center" vertical="center" wrapText="1"/>
    </xf>
    <xf numFmtId="3" fontId="25" fillId="0" borderId="75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87" xfId="78" applyNumberFormat="1" applyFont="1" applyBorder="1" applyAlignment="1">
      <alignment horizontal="center" vertical="center"/>
    </xf>
    <xf numFmtId="3" fontId="25" fillId="0" borderId="13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3" fontId="25" fillId="0" borderId="113" xfId="0" applyNumberFormat="1" applyFont="1" applyBorder="1" applyAlignment="1">
      <alignment horizontal="center" vertical="center" wrapText="1"/>
    </xf>
    <xf numFmtId="3" fontId="25" fillId="0" borderId="51" xfId="0" applyNumberFormat="1" applyFont="1" applyBorder="1" applyAlignment="1">
      <alignment horizontal="center" vertical="center" wrapText="1"/>
    </xf>
    <xf numFmtId="3" fontId="25" fillId="0" borderId="108" xfId="0" applyNumberFormat="1" applyFont="1" applyBorder="1" applyAlignment="1">
      <alignment horizontal="center" vertical="center" wrapText="1"/>
    </xf>
    <xf numFmtId="3" fontId="25" fillId="0" borderId="14" xfId="0" applyNumberFormat="1" applyFont="1" applyBorder="1" applyAlignment="1">
      <alignment horizontal="center" vertical="center" wrapText="1"/>
    </xf>
    <xf numFmtId="3" fontId="25" fillId="0" borderId="33" xfId="0" applyNumberFormat="1" applyFont="1" applyBorder="1" applyAlignment="1">
      <alignment horizontal="center" vertical="center" wrapText="1"/>
    </xf>
    <xf numFmtId="3" fontId="25" fillId="0" borderId="116" xfId="0" applyNumberFormat="1" applyFont="1" applyBorder="1" applyAlignment="1">
      <alignment horizontal="center" vertical="center" wrapText="1"/>
    </xf>
    <xf numFmtId="3" fontId="25" fillId="0" borderId="16" xfId="78" applyNumberFormat="1" applyFont="1" applyBorder="1" applyAlignment="1">
      <alignment horizontal="center" vertical="center"/>
    </xf>
    <xf numFmtId="0" fontId="44" fillId="0" borderId="23" xfId="0" applyFont="1" applyBorder="1" applyAlignment="1">
      <alignment horizontal="center" vertical="center"/>
    </xf>
    <xf numFmtId="0" fontId="44" fillId="0" borderId="24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77" xfId="0" applyFont="1" applyBorder="1" applyAlignment="1">
      <alignment horizontal="right"/>
    </xf>
    <xf numFmtId="0" fontId="0" fillId="0" borderId="77" xfId="0" applyBorder="1" applyAlignment="1">
      <alignment horizontal="right"/>
    </xf>
    <xf numFmtId="3" fontId="48" fillId="0" borderId="23" xfId="0" applyNumberFormat="1" applyFont="1" applyBorder="1" applyAlignment="1">
      <alignment horizontal="center" vertical="center" wrapText="1"/>
    </xf>
    <xf numFmtId="3" fontId="44" fillId="0" borderId="23" xfId="0" applyNumberFormat="1" applyFont="1" applyBorder="1" applyAlignment="1">
      <alignment horizontal="center"/>
    </xf>
    <xf numFmtId="0" fontId="47" fillId="0" borderId="23" xfId="0" applyFont="1" applyBorder="1" applyAlignment="1">
      <alignment horizontal="center" wrapText="1"/>
    </xf>
    <xf numFmtId="0" fontId="47" fillId="0" borderId="24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3" fontId="64" fillId="0" borderId="44" xfId="0" applyNumberFormat="1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 wrapText="1"/>
    </xf>
    <xf numFmtId="0" fontId="28" fillId="0" borderId="72" xfId="0" applyFont="1" applyBorder="1" applyAlignment="1">
      <alignment horizontal="center" vertical="center" wrapText="1"/>
    </xf>
    <xf numFmtId="3" fontId="64" fillId="0" borderId="36" xfId="0" applyNumberFormat="1" applyFont="1" applyBorder="1" applyAlignment="1">
      <alignment horizontal="center" vertical="center"/>
    </xf>
    <xf numFmtId="3" fontId="25" fillId="0" borderId="82" xfId="0" applyNumberFormat="1" applyFont="1" applyBorder="1" applyAlignment="1">
      <alignment horizontal="center" vertical="center"/>
    </xf>
    <xf numFmtId="0" fontId="25" fillId="0" borderId="60" xfId="0" applyFont="1" applyBorder="1" applyAlignment="1">
      <alignment horizontal="center" vertical="center"/>
    </xf>
    <xf numFmtId="0" fontId="64" fillId="0" borderId="0" xfId="74" applyFont="1" applyBorder="1" applyAlignment="1">
      <alignment horizontal="center"/>
    </xf>
    <xf numFmtId="3" fontId="64" fillId="0" borderId="11" xfId="0" applyNumberFormat="1" applyFont="1" applyBorder="1" applyAlignment="1">
      <alignment horizontal="center" vertical="center" wrapText="1"/>
    </xf>
    <xf numFmtId="3" fontId="64" fillId="0" borderId="39" xfId="0" applyNumberFormat="1" applyFont="1" applyBorder="1" applyAlignment="1">
      <alignment horizontal="center" vertical="center" wrapText="1"/>
    </xf>
    <xf numFmtId="3" fontId="64" fillId="0" borderId="51" xfId="0" applyNumberFormat="1" applyFont="1" applyBorder="1" applyAlignment="1">
      <alignment horizontal="center" vertical="center" wrapText="1"/>
    </xf>
    <xf numFmtId="3" fontId="64" fillId="0" borderId="87" xfId="0" applyNumberFormat="1" applyFont="1" applyBorder="1" applyAlignment="1">
      <alignment horizontal="center" vertical="center" wrapText="1"/>
    </xf>
    <xf numFmtId="3" fontId="64" fillId="0" borderId="88" xfId="0" applyNumberFormat="1" applyFont="1" applyBorder="1" applyAlignment="1">
      <alignment horizontal="center" vertical="center" wrapText="1"/>
    </xf>
    <xf numFmtId="3" fontId="63" fillId="0" borderId="0" xfId="0" applyNumberFormat="1" applyFont="1" applyBorder="1" applyAlignment="1">
      <alignment horizontal="right"/>
    </xf>
    <xf numFmtId="0" fontId="78" fillId="0" borderId="0" xfId="0" applyFont="1" applyAlignment="1">
      <alignment horizontal="right"/>
    </xf>
    <xf numFmtId="0" fontId="78" fillId="0" borderId="0" xfId="0" applyFont="1" applyAlignment="1"/>
    <xf numFmtId="3" fontId="64" fillId="0" borderId="15" xfId="0" applyNumberFormat="1" applyFont="1" applyBorder="1" applyAlignment="1">
      <alignment horizontal="center" vertical="center"/>
    </xf>
    <xf numFmtId="3" fontId="58" fillId="0" borderId="0" xfId="0" applyNumberFormat="1" applyFont="1" applyAlignment="1">
      <alignment horizontal="center"/>
    </xf>
    <xf numFmtId="3" fontId="64" fillId="0" borderId="56" xfId="0" applyNumberFormat="1" applyFont="1" applyBorder="1" applyAlignment="1">
      <alignment horizontal="right"/>
    </xf>
    <xf numFmtId="3" fontId="64" fillId="0" borderId="89" xfId="0" applyNumberFormat="1" applyFont="1" applyBorder="1" applyAlignment="1">
      <alignment horizontal="center" vertical="center" wrapText="1"/>
    </xf>
    <xf numFmtId="0" fontId="64" fillId="0" borderId="103" xfId="0" applyFont="1" applyBorder="1" applyAlignment="1">
      <alignment horizontal="center" vertical="center" readingOrder="2"/>
    </xf>
    <xf numFmtId="0" fontId="78" fillId="0" borderId="10" xfId="0" applyFont="1" applyBorder="1" applyAlignment="1">
      <alignment horizontal="center" vertical="center"/>
    </xf>
    <xf numFmtId="0" fontId="78" fillId="0" borderId="101" xfId="0" applyFont="1" applyBorder="1" applyAlignment="1">
      <alignment horizontal="center" vertical="center"/>
    </xf>
    <xf numFmtId="0" fontId="57" fillId="0" borderId="86" xfId="0" applyFont="1" applyBorder="1" applyAlignment="1">
      <alignment horizontal="center" vertical="center" textRotation="255"/>
    </xf>
    <xf numFmtId="3" fontId="64" fillId="0" borderId="16" xfId="0" applyNumberFormat="1" applyFont="1" applyBorder="1" applyAlignment="1">
      <alignment horizontal="center" vertical="center"/>
    </xf>
    <xf numFmtId="3" fontId="64" fillId="0" borderId="100" xfId="0" applyNumberFormat="1" applyFont="1" applyBorder="1" applyAlignment="1">
      <alignment horizontal="center" vertical="center"/>
    </xf>
    <xf numFmtId="3" fontId="64" fillId="0" borderId="98" xfId="0" applyNumberFormat="1" applyFont="1" applyBorder="1" applyAlignment="1">
      <alignment horizontal="center" vertical="center"/>
    </xf>
    <xf numFmtId="3" fontId="64" fillId="0" borderId="99" xfId="0" applyNumberFormat="1" applyFont="1" applyBorder="1" applyAlignment="1">
      <alignment horizontal="center" vertical="center"/>
    </xf>
    <xf numFmtId="3" fontId="64" fillId="0" borderId="10" xfId="0" applyNumberFormat="1" applyFont="1" applyBorder="1" applyAlignment="1">
      <alignment horizontal="center" vertical="center"/>
    </xf>
    <xf numFmtId="3" fontId="78" fillId="0" borderId="10" xfId="0" applyNumberFormat="1" applyFont="1" applyBorder="1" applyAlignment="1">
      <alignment horizontal="center" vertical="center"/>
    </xf>
    <xf numFmtId="3" fontId="78" fillId="0" borderId="101" xfId="0" applyNumberFormat="1" applyFont="1" applyBorder="1" applyAlignment="1">
      <alignment horizontal="center" vertical="center"/>
    </xf>
    <xf numFmtId="0" fontId="78" fillId="0" borderId="102" xfId="0" applyFont="1" applyBorder="1" applyAlignment="1">
      <alignment horizontal="center" vertical="center"/>
    </xf>
    <xf numFmtId="3" fontId="64" fillId="0" borderId="97" xfId="0" applyNumberFormat="1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64" fillId="0" borderId="45" xfId="0" applyFont="1" applyFill="1" applyBorder="1" applyAlignment="1"/>
    <xf numFmtId="0" fontId="78" fillId="0" borderId="71" xfId="0" applyFont="1" applyBorder="1" applyAlignment="1"/>
    <xf numFmtId="0" fontId="64" fillId="0" borderId="96" xfId="0" applyFont="1" applyBorder="1" applyAlignment="1">
      <alignment horizontal="center" vertical="center"/>
    </xf>
    <xf numFmtId="0" fontId="64" fillId="0" borderId="25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/>
    </xf>
    <xf numFmtId="3" fontId="64" fillId="0" borderId="27" xfId="0" applyNumberFormat="1" applyFont="1" applyBorder="1" applyAlignment="1">
      <alignment horizontal="center" vertical="center" wrapText="1"/>
    </xf>
    <xf numFmtId="3" fontId="57" fillId="0" borderId="89" xfId="0" applyNumberFormat="1" applyFont="1" applyBorder="1" applyAlignment="1">
      <alignment horizontal="center" vertical="center" wrapText="1"/>
    </xf>
    <xf numFmtId="3" fontId="57" fillId="0" borderId="90" xfId="0" applyNumberFormat="1" applyFont="1" applyBorder="1" applyAlignment="1">
      <alignment horizontal="center" vertical="center" wrapText="1"/>
    </xf>
    <xf numFmtId="0" fontId="57" fillId="0" borderId="91" xfId="0" applyFont="1" applyBorder="1" applyAlignment="1">
      <alignment horizontal="center" vertical="center" textRotation="255"/>
    </xf>
    <xf numFmtId="0" fontId="57" fillId="0" borderId="92" xfId="0" applyFont="1" applyBorder="1" applyAlignment="1">
      <alignment horizontal="center" vertical="center" textRotation="255"/>
    </xf>
    <xf numFmtId="0" fontId="0" fillId="0" borderId="93" xfId="0" applyBorder="1" applyAlignment="1"/>
    <xf numFmtId="3" fontId="64" fillId="0" borderId="94" xfId="0" applyNumberFormat="1" applyFont="1" applyBorder="1" applyAlignment="1">
      <alignment horizontal="center" vertical="center" wrapText="1"/>
    </xf>
    <xf numFmtId="3" fontId="64" fillId="0" borderId="95" xfId="0" applyNumberFormat="1" applyFont="1" applyBorder="1" applyAlignment="1">
      <alignment horizontal="center" vertical="center" wrapText="1"/>
    </xf>
    <xf numFmtId="0" fontId="88" fillId="0" borderId="0" xfId="0" applyFont="1" applyBorder="1" applyAlignment="1"/>
    <xf numFmtId="0" fontId="90" fillId="0" borderId="0" xfId="0" applyFont="1" applyBorder="1" applyAlignment="1">
      <alignment horizontal="center"/>
    </xf>
    <xf numFmtId="0" fontId="88" fillId="0" borderId="0" xfId="0" applyFont="1" applyAlignment="1"/>
    <xf numFmtId="0" fontId="89" fillId="0" borderId="24" xfId="0" applyFont="1" applyBorder="1" applyAlignment="1">
      <alignment horizontal="center" vertical="center" textRotation="255"/>
    </xf>
    <xf numFmtId="0" fontId="89" fillId="0" borderId="25" xfId="0" applyFont="1" applyBorder="1" applyAlignment="1">
      <alignment horizontal="center" vertical="center" textRotation="255"/>
    </xf>
    <xf numFmtId="3" fontId="90" fillId="0" borderId="23" xfId="0" applyNumberFormat="1" applyFont="1" applyBorder="1" applyAlignment="1">
      <alignment horizontal="center"/>
    </xf>
    <xf numFmtId="3" fontId="89" fillId="0" borderId="23" xfId="0" applyNumberFormat="1" applyFont="1" applyBorder="1" applyAlignment="1">
      <alignment horizontal="center"/>
    </xf>
    <xf numFmtId="3" fontId="64" fillId="0" borderId="0" xfId="0" applyNumberFormat="1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7" xfId="0" applyBorder="1" applyAlignment="1">
      <alignment horizontal="center" vertical="center" wrapText="1"/>
    </xf>
    <xf numFmtId="3" fontId="90" fillId="0" borderId="85" xfId="0" applyNumberFormat="1" applyFont="1" applyBorder="1" applyAlignment="1">
      <alignment horizontal="center"/>
    </xf>
    <xf numFmtId="3" fontId="90" fillId="0" borderId="59" xfId="0" applyNumberFormat="1" applyFont="1" applyBorder="1" applyAlignment="1">
      <alignment horizontal="center" vertical="center" wrapText="1"/>
    </xf>
    <xf numFmtId="0" fontId="88" fillId="0" borderId="59" xfId="0" applyFont="1" applyBorder="1" applyAlignment="1">
      <alignment horizontal="center" vertical="center" wrapText="1"/>
    </xf>
    <xf numFmtId="0" fontId="90" fillId="0" borderId="77" xfId="0" applyFont="1" applyBorder="1" applyAlignment="1">
      <alignment horizontal="right"/>
    </xf>
    <xf numFmtId="0" fontId="90" fillId="0" borderId="0" xfId="0" applyFont="1" applyBorder="1" applyAlignment="1">
      <alignment horizontal="right"/>
    </xf>
    <xf numFmtId="3" fontId="64" fillId="0" borderId="119" xfId="0" applyNumberFormat="1" applyFont="1" applyBorder="1" applyAlignment="1">
      <alignment horizontal="center"/>
    </xf>
    <xf numFmtId="3" fontId="64" fillId="0" borderId="23" xfId="0" applyNumberFormat="1" applyFont="1" applyBorder="1" applyAlignment="1">
      <alignment horizontal="center"/>
    </xf>
    <xf numFmtId="0" fontId="90" fillId="0" borderId="75" xfId="0" applyFont="1" applyBorder="1" applyAlignment="1">
      <alignment horizontal="center" vertical="center" wrapText="1"/>
    </xf>
    <xf numFmtId="0" fontId="90" fillId="0" borderId="59" xfId="0" applyFont="1" applyBorder="1" applyAlignment="1">
      <alignment horizontal="center" vertical="center" wrapText="1"/>
    </xf>
    <xf numFmtId="3" fontId="90" fillId="0" borderId="0" xfId="0" applyNumberFormat="1" applyFont="1" applyBorder="1" applyAlignment="1">
      <alignment horizontal="center" vertical="center" wrapText="1"/>
    </xf>
    <xf numFmtId="3" fontId="90" fillId="0" borderId="54" xfId="0" applyNumberFormat="1" applyFont="1" applyBorder="1" applyAlignment="1">
      <alignment horizontal="center" vertical="center" wrapText="1"/>
    </xf>
    <xf numFmtId="3" fontId="90" fillId="0" borderId="13" xfId="0" applyNumberFormat="1" applyFont="1" applyBorder="1" applyAlignment="1">
      <alignment horizontal="center" vertical="center" wrapText="1"/>
    </xf>
    <xf numFmtId="3" fontId="90" fillId="0" borderId="127" xfId="0" applyNumberFormat="1" applyFont="1" applyBorder="1" applyAlignment="1">
      <alignment horizontal="center" vertical="center" wrapText="1"/>
    </xf>
    <xf numFmtId="0" fontId="59" fillId="0" borderId="23" xfId="0" applyFont="1" applyBorder="1" applyAlignment="1">
      <alignment horizontal="left"/>
    </xf>
    <xf numFmtId="3" fontId="89" fillId="0" borderId="114" xfId="0" applyNumberFormat="1" applyFont="1" applyBorder="1" applyAlignment="1">
      <alignment horizontal="center"/>
    </xf>
    <xf numFmtId="3" fontId="90" fillId="0" borderId="119" xfId="0" applyNumberFormat="1" applyFont="1" applyBorder="1" applyAlignment="1">
      <alignment horizontal="center"/>
    </xf>
    <xf numFmtId="3" fontId="90" fillId="0" borderId="21" xfId="0" applyNumberFormat="1" applyFont="1" applyBorder="1" applyAlignment="1">
      <alignment horizontal="center" vertical="center" wrapText="1"/>
    </xf>
    <xf numFmtId="3" fontId="90" fillId="0" borderId="107" xfId="0" applyNumberFormat="1" applyFont="1" applyBorder="1" applyAlignment="1">
      <alignment horizontal="center" vertical="center" wrapText="1"/>
    </xf>
    <xf numFmtId="3" fontId="90" fillId="0" borderId="128" xfId="0" applyNumberFormat="1" applyFont="1" applyBorder="1" applyAlignment="1">
      <alignment horizontal="center" vertical="center" wrapText="1"/>
    </xf>
    <xf numFmtId="3" fontId="90" fillId="0" borderId="74" xfId="0" applyNumberFormat="1" applyFont="1" applyBorder="1" applyAlignment="1">
      <alignment horizontal="center" vertical="center" wrapText="1"/>
    </xf>
    <xf numFmtId="3" fontId="90" fillId="0" borderId="129" xfId="0" applyNumberFormat="1" applyFont="1" applyBorder="1" applyAlignment="1">
      <alignment horizontal="center" vertical="center" wrapText="1"/>
    </xf>
    <xf numFmtId="3" fontId="90" fillId="0" borderId="130" xfId="0" applyNumberFormat="1" applyFont="1" applyBorder="1" applyAlignment="1">
      <alignment horizontal="center" vertical="center" wrapText="1"/>
    </xf>
    <xf numFmtId="3" fontId="69" fillId="0" borderId="44" xfId="0" applyNumberFormat="1" applyFont="1" applyBorder="1" applyAlignment="1">
      <alignment horizontal="center" vertical="center" wrapText="1"/>
    </xf>
    <xf numFmtId="3" fontId="69" fillId="0" borderId="23" xfId="0" applyNumberFormat="1" applyFont="1" applyBorder="1" applyAlignment="1">
      <alignment horizontal="center" vertical="center" wrapText="1"/>
    </xf>
    <xf numFmtId="3" fontId="69" fillId="0" borderId="24" xfId="0" applyNumberFormat="1" applyFont="1" applyBorder="1" applyAlignment="1">
      <alignment horizontal="center" vertical="center" wrapText="1"/>
    </xf>
    <xf numFmtId="3" fontId="64" fillId="0" borderId="85" xfId="0" applyNumberFormat="1" applyFont="1" applyBorder="1" applyAlignment="1">
      <alignment horizontal="center"/>
    </xf>
    <xf numFmtId="3" fontId="64" fillId="0" borderId="80" xfId="0" applyNumberFormat="1" applyFont="1" applyBorder="1" applyAlignment="1">
      <alignment horizontal="center"/>
    </xf>
    <xf numFmtId="3" fontId="64" fillId="0" borderId="125" xfId="0" applyNumberFormat="1" applyFont="1" applyBorder="1" applyAlignment="1">
      <alignment horizontal="center"/>
    </xf>
    <xf numFmtId="3" fontId="64" fillId="0" borderId="41" xfId="0" applyNumberFormat="1" applyFont="1" applyBorder="1" applyAlignment="1">
      <alignment horizontal="center"/>
    </xf>
    <xf numFmtId="0" fontId="155" fillId="0" borderId="0" xfId="0" applyFont="1" applyBorder="1" applyAlignment="1">
      <alignment horizontal="right"/>
    </xf>
    <xf numFmtId="0" fontId="153" fillId="0" borderId="0" xfId="0" applyFont="1" applyBorder="1" applyAlignment="1">
      <alignment horizontal="right"/>
    </xf>
    <xf numFmtId="0" fontId="154" fillId="0" borderId="0" xfId="0" applyFont="1" applyAlignment="1"/>
    <xf numFmtId="0" fontId="44" fillId="0" borderId="23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47" xfId="0" applyFont="1" applyBorder="1" applyAlignment="1">
      <alignment horizontal="center" textRotation="255"/>
    </xf>
    <xf numFmtId="0" fontId="43" fillId="0" borderId="22" xfId="0" applyFont="1" applyBorder="1" applyAlignment="1">
      <alignment horizontal="center" textRotation="255"/>
    </xf>
    <xf numFmtId="0" fontId="44" fillId="0" borderId="11" xfId="0" applyFont="1" applyBorder="1" applyAlignment="1">
      <alignment horizontal="center"/>
    </xf>
    <xf numFmtId="0" fontId="24" fillId="0" borderId="11" xfId="0" applyFont="1" applyBorder="1" applyAlignment="1">
      <alignment horizontal="center" vertical="center" wrapText="1"/>
    </xf>
    <xf numFmtId="0" fontId="24" fillId="0" borderId="47" xfId="0" applyFont="1" applyBorder="1" applyAlignment="1">
      <alignment horizontal="center" vertical="center" wrapText="1"/>
    </xf>
    <xf numFmtId="0" fontId="24" fillId="0" borderId="39" xfId="0" applyFont="1" applyBorder="1" applyAlignment="1">
      <alignment horizontal="center" vertical="center" wrapText="1"/>
    </xf>
    <xf numFmtId="3" fontId="64" fillId="0" borderId="47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2" fillId="0" borderId="47" xfId="0" applyFont="1" applyBorder="1" applyAlignment="1">
      <alignment horizontal="center" textRotation="255"/>
    </xf>
    <xf numFmtId="0" fontId="22" fillId="0" borderId="22" xfId="0" applyFont="1" applyBorder="1" applyAlignment="1">
      <alignment horizontal="center" textRotation="255"/>
    </xf>
    <xf numFmtId="0" fontId="22" fillId="0" borderId="36" xfId="0" applyFont="1" applyBorder="1" applyAlignment="1">
      <alignment horizontal="center" textRotation="255"/>
    </xf>
    <xf numFmtId="0" fontId="24" fillId="0" borderId="11" xfId="0" applyFont="1" applyBorder="1" applyAlignment="1">
      <alignment horizontal="center"/>
    </xf>
    <xf numFmtId="0" fontId="24" fillId="0" borderId="23" xfId="0" applyFont="1" applyBorder="1" applyAlignment="1">
      <alignment horizontal="left"/>
    </xf>
    <xf numFmtId="3" fontId="25" fillId="0" borderId="47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5" fillId="0" borderId="77" xfId="0" applyFont="1" applyBorder="1" applyAlignment="1">
      <alignment horizontal="right"/>
    </xf>
    <xf numFmtId="0" fontId="59" fillId="0" borderId="23" xfId="0" applyFont="1" applyBorder="1" applyAlignment="1">
      <alignment horizontal="center" vertical="center"/>
    </xf>
    <xf numFmtId="3" fontId="59" fillId="0" borderId="2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39" fillId="0" borderId="0" xfId="0" applyNumberFormat="1" applyFont="1" applyBorder="1" applyAlignment="1">
      <alignment horizontal="right"/>
    </xf>
    <xf numFmtId="0" fontId="53" fillId="0" borderId="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55" fillId="0" borderId="0" xfId="0" applyFont="1" applyBorder="1" applyAlignment="1">
      <alignment horizontal="right"/>
    </xf>
    <xf numFmtId="0" fontId="29" fillId="0" borderId="11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/>
    </xf>
    <xf numFmtId="0" fontId="48" fillId="0" borderId="11" xfId="0" applyFont="1" applyBorder="1" applyAlignment="1">
      <alignment horizontal="center"/>
    </xf>
    <xf numFmtId="0" fontId="48" fillId="0" borderId="28" xfId="0" applyFont="1" applyBorder="1" applyAlignment="1">
      <alignment horizontal="center"/>
    </xf>
    <xf numFmtId="0" fontId="43" fillId="0" borderId="11" xfId="0" applyFont="1" applyBorder="1" applyAlignment="1">
      <alignment horizontal="center" textRotation="255"/>
    </xf>
    <xf numFmtId="0" fontId="48" fillId="0" borderId="27" xfId="0" applyFont="1" applyBorder="1" applyAlignment="1">
      <alignment horizontal="center"/>
    </xf>
    <xf numFmtId="0" fontId="55" fillId="0" borderId="0" xfId="0" applyFont="1" applyBorder="1" applyAlignment="1">
      <alignment horizontal="left" wrapText="1"/>
    </xf>
    <xf numFmtId="0" fontId="56" fillId="0" borderId="11" xfId="0" applyFont="1" applyBorder="1" applyAlignment="1">
      <alignment horizontal="center" vertical="center"/>
    </xf>
    <xf numFmtId="0" fontId="55" fillId="0" borderId="0" xfId="0" applyFont="1" applyBorder="1" applyAlignment="1">
      <alignment horizontal="left" vertical="top" wrapText="1"/>
    </xf>
    <xf numFmtId="0" fontId="100" fillId="0" borderId="0" xfId="72" applyFont="1" applyAlignment="1">
      <alignment horizontal="center"/>
    </xf>
    <xf numFmtId="0" fontId="100" fillId="0" borderId="0" xfId="72" applyFont="1" applyAlignment="1">
      <alignment horizontal="right"/>
    </xf>
    <xf numFmtId="0" fontId="112" fillId="0" borderId="23" xfId="72" applyFont="1" applyBorder="1" applyAlignment="1">
      <alignment horizontal="center"/>
    </xf>
    <xf numFmtId="0" fontId="48" fillId="0" borderId="85" xfId="72" applyFont="1" applyBorder="1" applyAlignment="1">
      <alignment horizontal="center" wrapText="1"/>
    </xf>
    <xf numFmtId="0" fontId="48" fillId="0" borderId="23" xfId="72" applyFont="1" applyBorder="1" applyAlignment="1">
      <alignment horizontal="center" vertical="center"/>
    </xf>
    <xf numFmtId="0" fontId="48" fillId="0" borderId="23" xfId="72" applyFont="1" applyBorder="1" applyAlignment="1">
      <alignment horizontal="center"/>
    </xf>
    <xf numFmtId="0" fontId="48" fillId="0" borderId="77" xfId="72" applyFont="1" applyBorder="1" applyAlignment="1">
      <alignment horizontal="center"/>
    </xf>
    <xf numFmtId="0" fontId="48" fillId="0" borderId="78" xfId="72" applyFont="1" applyBorder="1" applyAlignment="1">
      <alignment horizontal="center"/>
    </xf>
    <xf numFmtId="0" fontId="99" fillId="0" borderId="0" xfId="0" applyFont="1" applyBorder="1" applyAlignment="1">
      <alignment horizontal="right"/>
    </xf>
    <xf numFmtId="0" fontId="98" fillId="0" borderId="23" xfId="72" applyFont="1" applyBorder="1" applyAlignment="1">
      <alignment horizontal="center"/>
    </xf>
    <xf numFmtId="0" fontId="100" fillId="0" borderId="85" xfId="72" applyFont="1" applyBorder="1" applyAlignment="1">
      <alignment horizontal="center" wrapText="1"/>
    </xf>
    <xf numFmtId="0" fontId="100" fillId="0" borderId="23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0" fillId="0" borderId="0" xfId="72" applyFont="1" applyAlignment="1"/>
    <xf numFmtId="0" fontId="100" fillId="0" borderId="41" xfId="72" applyFont="1" applyBorder="1" applyAlignment="1">
      <alignment horizontal="center"/>
    </xf>
    <xf numFmtId="0" fontId="100" fillId="0" borderId="80" xfId="72" applyFont="1" applyBorder="1" applyAlignment="1">
      <alignment horizontal="center"/>
    </xf>
    <xf numFmtId="0" fontId="100" fillId="0" borderId="85" xfId="72" applyFont="1" applyBorder="1" applyAlignment="1">
      <alignment horizontal="center"/>
    </xf>
    <xf numFmtId="0" fontId="99" fillId="0" borderId="0" xfId="72" applyFont="1" applyAlignment="1">
      <alignment horizontal="right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3" xfId="72" applyFont="1" applyBorder="1" applyAlignment="1">
      <alignment horizontal="center"/>
    </xf>
    <xf numFmtId="0" fontId="52" fillId="0" borderId="0" xfId="73" applyFont="1" applyAlignment="1">
      <alignment horizontal="right" wrapText="1"/>
    </xf>
    <xf numFmtId="0" fontId="20" fillId="0" borderId="23" xfId="73" applyFont="1" applyBorder="1" applyAlignment="1">
      <alignment horizontal="center"/>
    </xf>
    <xf numFmtId="0" fontId="53" fillId="0" borderId="0" xfId="73" applyFont="1" applyAlignment="1">
      <alignment horizontal="center"/>
    </xf>
    <xf numFmtId="0" fontId="35" fillId="0" borderId="0" xfId="77" applyFont="1" applyAlignment="1">
      <alignment horizontal="right"/>
    </xf>
    <xf numFmtId="0" fontId="20" fillId="0" borderId="23" xfId="77" applyFont="1" applyBorder="1" applyAlignment="1">
      <alignment horizontal="center"/>
    </xf>
    <xf numFmtId="0" fontId="53" fillId="0" borderId="0" xfId="77" applyFont="1" applyAlignment="1">
      <alignment horizontal="center"/>
    </xf>
    <xf numFmtId="0" fontId="53" fillId="0" borderId="23" xfId="77" applyFont="1" applyBorder="1" applyAlignment="1">
      <alignment horizontal="center"/>
    </xf>
    <xf numFmtId="0" fontId="53" fillId="0" borderId="24" xfId="77" applyFont="1" applyBorder="1" applyAlignment="1">
      <alignment horizontal="center" vertical="center"/>
    </xf>
    <xf numFmtId="0" fontId="53" fillId="0" borderId="44" xfId="77" applyFont="1" applyBorder="1" applyAlignment="1">
      <alignment horizontal="center" vertical="center"/>
    </xf>
    <xf numFmtId="0" fontId="53" fillId="0" borderId="24" xfId="77" applyFont="1" applyBorder="1" applyAlignment="1">
      <alignment horizontal="center" vertical="center" wrapText="1"/>
    </xf>
    <xf numFmtId="0" fontId="53" fillId="0" borderId="44" xfId="77" applyFont="1" applyBorder="1" applyAlignment="1">
      <alignment horizontal="center" vertical="center" wrapText="1"/>
    </xf>
    <xf numFmtId="0" fontId="53" fillId="0" borderId="40" xfId="77" applyFont="1" applyBorder="1" applyAlignment="1">
      <alignment horizontal="center" vertical="center"/>
    </xf>
    <xf numFmtId="0" fontId="53" fillId="0" borderId="76" xfId="77" applyFont="1" applyBorder="1" applyAlignment="1">
      <alignment horizontal="center" vertical="center"/>
    </xf>
    <xf numFmtId="0" fontId="53" fillId="0" borderId="77" xfId="77" applyFont="1" applyBorder="1" applyAlignment="1">
      <alignment horizontal="right"/>
    </xf>
    <xf numFmtId="3" fontId="39" fillId="0" borderId="21" xfId="74" applyNumberFormat="1" applyFont="1" applyBorder="1"/>
    <xf numFmtId="3" fontId="39" fillId="0" borderId="21" xfId="0" applyNumberFormat="1" applyFont="1" applyBorder="1"/>
    <xf numFmtId="3" fontId="30" fillId="0" borderId="21" xfId="0" applyNumberFormat="1" applyFont="1" applyBorder="1"/>
    <xf numFmtId="3" fontId="35" fillId="0" borderId="21" xfId="0" applyNumberFormat="1" applyFont="1" applyBorder="1"/>
    <xf numFmtId="3" fontId="59" fillId="0" borderId="21" xfId="0" applyNumberFormat="1" applyFont="1" applyBorder="1"/>
    <xf numFmtId="0" fontId="39" fillId="0" borderId="59" xfId="0" applyFont="1" applyBorder="1"/>
    <xf numFmtId="3" fontId="66" fillId="0" borderId="21" xfId="0" applyNumberFormat="1" applyFont="1" applyBorder="1"/>
    <xf numFmtId="3" fontId="66" fillId="0" borderId="0" xfId="0" applyNumberFormat="1" applyFont="1"/>
    <xf numFmtId="3" fontId="64" fillId="0" borderId="21" xfId="0" applyNumberFormat="1" applyFont="1" applyBorder="1"/>
    <xf numFmtId="3" fontId="25" fillId="0" borderId="21" xfId="0" applyNumberFormat="1" applyFont="1" applyBorder="1"/>
    <xf numFmtId="3" fontId="57" fillId="0" borderId="21" xfId="74" applyNumberFormat="1" applyFont="1" applyBorder="1"/>
    <xf numFmtId="3" fontId="38" fillId="0" borderId="21" xfId="0" applyNumberFormat="1" applyFont="1" applyBorder="1"/>
    <xf numFmtId="3" fontId="28" fillId="0" borderId="21" xfId="0" applyNumberFormat="1" applyFont="1" applyBorder="1"/>
    <xf numFmtId="3" fontId="34" fillId="0" borderId="0" xfId="74" applyNumberFormat="1" applyFont="1" applyBorder="1"/>
    <xf numFmtId="3" fontId="34" fillId="0" borderId="59" xfId="74" applyNumberFormat="1" applyFont="1" applyBorder="1"/>
    <xf numFmtId="3" fontId="34" fillId="0" borderId="21" xfId="74" applyNumberFormat="1" applyFont="1" applyBorder="1"/>
    <xf numFmtId="0" fontId="39" fillId="0" borderId="0" xfId="0" applyFont="1" applyBorder="1"/>
    <xf numFmtId="3" fontId="64" fillId="0" borderId="61" xfId="0" applyNumberFormat="1" applyFont="1" applyBorder="1"/>
    <xf numFmtId="3" fontId="25" fillId="0" borderId="0" xfId="74" applyNumberFormat="1" applyFont="1" applyBorder="1"/>
    <xf numFmtId="3" fontId="25" fillId="0" borderId="59" xfId="74" applyNumberFormat="1" applyFont="1" applyBorder="1"/>
    <xf numFmtId="3" fontId="30" fillId="0" borderId="63" xfId="0" applyNumberFormat="1" applyFont="1" applyBorder="1"/>
    <xf numFmtId="3" fontId="64" fillId="0" borderId="136" xfId="0" applyNumberFormat="1" applyFont="1" applyBorder="1"/>
    <xf numFmtId="3" fontId="25" fillId="0" borderId="21" xfId="74" applyNumberFormat="1" applyFont="1" applyBorder="1"/>
    <xf numFmtId="3" fontId="30" fillId="0" borderId="55" xfId="0" applyNumberFormat="1" applyFont="1" applyBorder="1"/>
    <xf numFmtId="3" fontId="28" fillId="0" borderId="0" xfId="0" applyNumberFormat="1" applyFont="1" applyBorder="1" applyAlignment="1">
      <alignment wrapText="1"/>
    </xf>
    <xf numFmtId="3" fontId="25" fillId="0" borderId="133" xfId="0" applyNumberFormat="1" applyFont="1" applyBorder="1"/>
    <xf numFmtId="3" fontId="25" fillId="0" borderId="55" xfId="0" applyNumberFormat="1" applyFont="1" applyBorder="1"/>
    <xf numFmtId="0" fontId="25" fillId="0" borderId="61" xfId="0" applyFont="1" applyBorder="1"/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X57"/>
  <sheetViews>
    <sheetView tabSelected="1" zoomScale="120" workbookViewId="0">
      <selection activeCell="K59" sqref="K59"/>
    </sheetView>
  </sheetViews>
  <sheetFormatPr defaultColWidth="9.140625" defaultRowHeight="11.25" x14ac:dyDescent="0.2"/>
  <cols>
    <col min="1" max="1" width="3.85546875" style="113" customWidth="1"/>
    <col min="2" max="2" width="36.28515625" style="113" customWidth="1"/>
    <col min="3" max="4" width="11.140625" style="114" customWidth="1"/>
    <col min="5" max="5" width="11" style="114" customWidth="1"/>
    <col min="6" max="7" width="11.140625" style="114" customWidth="1"/>
    <col min="8" max="8" width="11" style="114" customWidth="1"/>
    <col min="9" max="10" width="11.140625" style="114" customWidth="1"/>
    <col min="11" max="11" width="36.85546875" style="114" customWidth="1"/>
    <col min="12" max="13" width="11.140625" style="114" customWidth="1"/>
    <col min="14" max="14" width="11" style="114" customWidth="1"/>
    <col min="15" max="16" width="11.140625" style="113" customWidth="1"/>
    <col min="17" max="19" width="11" style="113" customWidth="1"/>
    <col min="20" max="24" width="9.140625" style="113"/>
    <col min="25" max="16384" width="9.140625" style="9"/>
  </cols>
  <sheetData>
    <row r="1" spans="1:24" ht="12.75" customHeight="1" x14ac:dyDescent="0.2">
      <c r="A1" s="1409" t="s">
        <v>1346</v>
      </c>
      <c r="B1" s="1409"/>
      <c r="C1" s="1409"/>
      <c r="D1" s="1409"/>
      <c r="E1" s="1409"/>
      <c r="F1" s="1409"/>
      <c r="G1" s="1409"/>
      <c r="H1" s="1409"/>
      <c r="I1" s="1409"/>
      <c r="J1" s="1409"/>
      <c r="K1" s="1409"/>
      <c r="L1" s="1409"/>
      <c r="M1" s="1409"/>
      <c r="N1" s="1409"/>
      <c r="O1" s="1409"/>
      <c r="P1" s="1409"/>
      <c r="Q1" s="1409"/>
      <c r="R1" s="1409"/>
      <c r="S1" s="1409"/>
    </row>
    <row r="2" spans="1:24" ht="20.25" x14ac:dyDescent="0.3">
      <c r="B2" s="591"/>
      <c r="N2" s="115"/>
    </row>
    <row r="3" spans="1:24" s="95" customFormat="1" ht="12.75" customHeight="1" x14ac:dyDescent="0.2">
      <c r="A3" s="116"/>
      <c r="B3" s="1414" t="s">
        <v>54</v>
      </c>
      <c r="C3" s="1414"/>
      <c r="D3" s="1414"/>
      <c r="E3" s="1414"/>
      <c r="F3" s="1414"/>
      <c r="G3" s="1414"/>
      <c r="H3" s="1414"/>
      <c r="I3" s="1414"/>
      <c r="J3" s="1414"/>
      <c r="K3" s="1414"/>
      <c r="L3" s="1414"/>
      <c r="M3" s="1414"/>
      <c r="N3" s="1414"/>
      <c r="O3" s="1414"/>
      <c r="P3" s="1414"/>
      <c r="Q3" s="1414"/>
      <c r="R3" s="1414"/>
      <c r="S3" s="1414"/>
      <c r="T3" s="116"/>
      <c r="U3" s="116"/>
      <c r="V3" s="116"/>
      <c r="W3" s="116"/>
      <c r="X3" s="116"/>
    </row>
    <row r="4" spans="1:24" s="95" customFormat="1" ht="12.75" customHeight="1" x14ac:dyDescent="0.2">
      <c r="A4" s="116"/>
      <c r="B4" s="1415" t="s">
        <v>1174</v>
      </c>
      <c r="C4" s="1415"/>
      <c r="D4" s="1415"/>
      <c r="E4" s="1415"/>
      <c r="F4" s="1415"/>
      <c r="G4" s="1415"/>
      <c r="H4" s="1415"/>
      <c r="I4" s="1415"/>
      <c r="J4" s="1415"/>
      <c r="K4" s="1415"/>
      <c r="L4" s="1415"/>
      <c r="M4" s="1415"/>
      <c r="N4" s="1415"/>
      <c r="O4" s="1415"/>
      <c r="P4" s="1415"/>
      <c r="Q4" s="1415"/>
      <c r="R4" s="1415"/>
      <c r="S4" s="1415"/>
      <c r="T4" s="116"/>
      <c r="U4" s="116"/>
      <c r="V4" s="116"/>
      <c r="W4" s="116"/>
      <c r="X4" s="116"/>
    </row>
    <row r="5" spans="1:24" s="95" customFormat="1" x14ac:dyDescent="0.2">
      <c r="A5" s="116"/>
      <c r="B5" s="1416" t="s">
        <v>306</v>
      </c>
      <c r="C5" s="1416"/>
      <c r="D5" s="1416"/>
      <c r="E5" s="1416"/>
      <c r="F5" s="1416"/>
      <c r="G5" s="1416"/>
      <c r="H5" s="1416"/>
      <c r="I5" s="1416"/>
      <c r="J5" s="1416"/>
      <c r="K5" s="1416"/>
      <c r="L5" s="1416"/>
      <c r="M5" s="1416"/>
      <c r="N5" s="1416"/>
      <c r="O5" s="1416"/>
      <c r="P5" s="1416"/>
      <c r="Q5" s="1416"/>
      <c r="R5" s="1416"/>
      <c r="S5" s="1416"/>
      <c r="T5" s="116"/>
      <c r="U5" s="116"/>
      <c r="V5" s="116"/>
      <c r="W5" s="116"/>
      <c r="X5" s="116"/>
    </row>
    <row r="6" spans="1:24" s="95" customFormat="1" ht="12.75" customHeight="1" x14ac:dyDescent="0.2">
      <c r="A6" s="1410" t="s">
        <v>56</v>
      </c>
      <c r="B6" s="1411" t="s">
        <v>57</v>
      </c>
      <c r="C6" s="1412" t="s">
        <v>58</v>
      </c>
      <c r="D6" s="1412"/>
      <c r="E6" s="1412"/>
      <c r="F6" s="1412"/>
      <c r="G6" s="1412"/>
      <c r="H6" s="1412"/>
      <c r="I6" s="1412"/>
      <c r="J6" s="1412"/>
      <c r="K6" s="1412" t="s">
        <v>59</v>
      </c>
      <c r="L6" s="1417" t="s">
        <v>60</v>
      </c>
      <c r="M6" s="1417"/>
      <c r="N6" s="1417"/>
      <c r="O6" s="1417"/>
      <c r="P6" s="1417"/>
      <c r="Q6" s="1417"/>
      <c r="R6" s="1417"/>
      <c r="S6" s="1417"/>
    </row>
    <row r="7" spans="1:24" s="95" customFormat="1" ht="12.75" customHeight="1" x14ac:dyDescent="0.2">
      <c r="A7" s="1410"/>
      <c r="B7" s="1411"/>
      <c r="C7" s="1413" t="s">
        <v>1344</v>
      </c>
      <c r="D7" s="1413"/>
      <c r="E7" s="1413"/>
      <c r="F7" s="1413" t="s">
        <v>1337</v>
      </c>
      <c r="G7" s="1413"/>
      <c r="H7" s="1413" t="s">
        <v>1338</v>
      </c>
      <c r="I7" s="1413"/>
      <c r="J7" s="1413"/>
      <c r="K7" s="1412"/>
      <c r="L7" s="1413" t="s">
        <v>1345</v>
      </c>
      <c r="M7" s="1413"/>
      <c r="N7" s="1413"/>
      <c r="O7" s="1413" t="s">
        <v>1337</v>
      </c>
      <c r="P7" s="1413"/>
      <c r="Q7" s="1413" t="s">
        <v>1338</v>
      </c>
      <c r="R7" s="1413"/>
      <c r="S7" s="1413"/>
    </row>
    <row r="8" spans="1:24" s="96" customFormat="1" ht="36.6" customHeight="1" x14ac:dyDescent="0.2">
      <c r="A8" s="1410"/>
      <c r="B8" s="1351" t="s">
        <v>61</v>
      </c>
      <c r="C8" s="1306" t="s">
        <v>62</v>
      </c>
      <c r="D8" s="1306" t="s">
        <v>63</v>
      </c>
      <c r="E8" s="1306" t="s">
        <v>64</v>
      </c>
      <c r="F8" s="1359" t="s">
        <v>62</v>
      </c>
      <c r="G8" s="1306" t="s">
        <v>63</v>
      </c>
      <c r="H8" s="1306" t="s">
        <v>62</v>
      </c>
      <c r="I8" s="1306" t="s">
        <v>63</v>
      </c>
      <c r="J8" s="1306" t="s">
        <v>64</v>
      </c>
      <c r="K8" s="1353" t="s">
        <v>65</v>
      </c>
      <c r="L8" s="1306" t="s">
        <v>62</v>
      </c>
      <c r="M8" s="1306" t="s">
        <v>63</v>
      </c>
      <c r="N8" s="1306" t="s">
        <v>64</v>
      </c>
      <c r="O8" s="1359" t="s">
        <v>62</v>
      </c>
      <c r="P8" s="1306" t="s">
        <v>63</v>
      </c>
      <c r="Q8" s="1306" t="s">
        <v>62</v>
      </c>
      <c r="R8" s="1306" t="s">
        <v>63</v>
      </c>
      <c r="S8" s="1306" t="s">
        <v>64</v>
      </c>
    </row>
    <row r="9" spans="1:24" ht="11.45" customHeight="1" x14ac:dyDescent="0.2">
      <c r="A9" s="552">
        <v>1</v>
      </c>
      <c r="B9" s="1326" t="s">
        <v>24</v>
      </c>
      <c r="C9" s="121"/>
      <c r="D9" s="121"/>
      <c r="E9" s="1354"/>
      <c r="F9" s="121"/>
      <c r="G9" s="1360"/>
      <c r="H9" s="121"/>
      <c r="I9" s="121"/>
      <c r="J9" s="1354"/>
      <c r="K9" s="1337" t="s">
        <v>25</v>
      </c>
      <c r="L9" s="121"/>
      <c r="M9" s="121"/>
      <c r="N9" s="327"/>
      <c r="O9" s="1330"/>
      <c r="P9" s="1364"/>
      <c r="Q9" s="1330"/>
      <c r="R9" s="1330"/>
      <c r="S9" s="1368"/>
      <c r="T9" s="9"/>
      <c r="U9" s="9"/>
      <c r="V9" s="9"/>
      <c r="W9" s="9"/>
      <c r="X9" s="9"/>
    </row>
    <row r="10" spans="1:24" x14ac:dyDescent="0.2">
      <c r="A10" s="552">
        <f t="shared" ref="A10:A55" si="0">A9+1</f>
        <v>2</v>
      </c>
      <c r="B10" s="118" t="s">
        <v>198</v>
      </c>
      <c r="C10" s="193"/>
      <c r="D10" s="193"/>
      <c r="E10" s="339">
        <f>SUM(C10:D10)</f>
        <v>0</v>
      </c>
      <c r="F10" s="193"/>
      <c r="G10" s="339"/>
      <c r="H10" s="193"/>
      <c r="I10" s="193"/>
      <c r="J10" s="339"/>
      <c r="K10" s="193" t="s">
        <v>216</v>
      </c>
      <c r="L10" s="193">
        <f>'pü.mérleg Önkorm.'!L10+'pü.mérleg Hivatal'!M12+'püm. GAMESZ. '!L12+'püm-TASZII.'!L12+püm.Brunszvik!L12+'püm Festetics'!L12</f>
        <v>574775</v>
      </c>
      <c r="M10" s="193">
        <f>'pü.mérleg Önkorm.'!M10+'pü.mérleg Hivatal'!N12+'püm. GAMESZ. '!M12+'püm-TASZII.'!M12+püm.Brunszvik!M12+'püm Festetics'!M12</f>
        <v>390962</v>
      </c>
      <c r="N10" s="1355">
        <f>SUM(L10:M10)</f>
        <v>965737</v>
      </c>
      <c r="O10" s="1330">
        <v>1994</v>
      </c>
      <c r="P10" s="327">
        <v>13500</v>
      </c>
      <c r="Q10" s="119">
        <f>L10+O10</f>
        <v>576769</v>
      </c>
      <c r="R10" s="119">
        <f>M10+P10</f>
        <v>404462</v>
      </c>
      <c r="S10" s="1361">
        <f>Q10+R10</f>
        <v>981231</v>
      </c>
      <c r="T10" s="9"/>
      <c r="U10" s="9"/>
      <c r="V10" s="9"/>
      <c r="W10" s="9"/>
      <c r="X10" s="9"/>
    </row>
    <row r="11" spans="1:24" x14ac:dyDescent="0.2">
      <c r="A11" s="552">
        <f t="shared" si="0"/>
        <v>3</v>
      </c>
      <c r="B11" s="118" t="s">
        <v>192</v>
      </c>
      <c r="C11" s="193">
        <f>'tám, végl. pe.átv  '!C11+'tám, végl. pe.átv  '!C17+'tám, végl. pe.átv  '!C18</f>
        <v>782216</v>
      </c>
      <c r="D11" s="193">
        <f>'tám, végl. pe.átv  '!D11+'tám, végl. pe.átv  '!D17+'tám, végl. pe.átv  '!D18</f>
        <v>106500</v>
      </c>
      <c r="E11" s="339">
        <f>'tám, végl. pe.átv  '!E11+'tám, végl. pe.átv  '!E17+'tám, végl. pe.átv  '!E18</f>
        <v>888716</v>
      </c>
      <c r="F11" s="193">
        <v>6366</v>
      </c>
      <c r="G11" s="339">
        <v>1496</v>
      </c>
      <c r="H11" s="193">
        <f>C11+F11</f>
        <v>788582</v>
      </c>
      <c r="I11" s="193">
        <f>D11+G11</f>
        <v>107996</v>
      </c>
      <c r="J11" s="339">
        <f>H11+I11</f>
        <v>896578</v>
      </c>
      <c r="K11" s="1346" t="s">
        <v>217</v>
      </c>
      <c r="L11" s="193">
        <f>'pü.mérleg Önkorm.'!L11+'pü.mérleg Hivatal'!M13+'püm. GAMESZ. '!L13+püm.Brunszvik!L13+'püm-TASZII.'!L13+'püm Festetics'!L13</f>
        <v>117689</v>
      </c>
      <c r="M11" s="193">
        <f>'pü.mérleg Önkorm.'!M11+'pü.mérleg Hivatal'!N13+'püm. GAMESZ. '!M13+püm.Brunszvik!M13+'püm-TASZII.'!M13+'püm Festetics'!M13</f>
        <v>87160</v>
      </c>
      <c r="N11" s="339">
        <f>SUM(L11:M11)</f>
        <v>204849</v>
      </c>
      <c r="O11" s="1330">
        <v>388</v>
      </c>
      <c r="P11" s="327">
        <v>2684</v>
      </c>
      <c r="Q11" s="119">
        <f t="shared" ref="Q11:Q54" si="1">L11+O11</f>
        <v>118077</v>
      </c>
      <c r="R11" s="119">
        <f t="shared" ref="R11:R54" si="2">M11+P11</f>
        <v>89844</v>
      </c>
      <c r="S11" s="1361">
        <f t="shared" ref="S11:S54" si="3">Q11+R11</f>
        <v>207921</v>
      </c>
      <c r="T11" s="9"/>
      <c r="U11" s="9"/>
      <c r="V11" s="9"/>
      <c r="W11" s="9"/>
      <c r="X11" s="9"/>
    </row>
    <row r="12" spans="1:24" x14ac:dyDescent="0.2">
      <c r="A12" s="552">
        <f t="shared" si="0"/>
        <v>4</v>
      </c>
      <c r="B12" s="118" t="s">
        <v>190</v>
      </c>
      <c r="C12" s="193">
        <f>'pü.mérleg Önkorm.'!C12</f>
        <v>0</v>
      </c>
      <c r="D12" s="193">
        <f>'pü.mérleg Önkorm.'!D12</f>
        <v>0</v>
      </c>
      <c r="E12" s="339">
        <f>'pü.mérleg Önkorm.'!E12</f>
        <v>0</v>
      </c>
      <c r="F12" s="193"/>
      <c r="G12" s="339"/>
      <c r="H12" s="193"/>
      <c r="I12" s="193"/>
      <c r="J12" s="339"/>
      <c r="K12" s="193" t="s">
        <v>218</v>
      </c>
      <c r="L12" s="193">
        <f>'pü.mérleg Önkorm.'!L12+'pü.mérleg Hivatal'!M14+'püm. GAMESZ. '!L14+püm.Brunszvik!L14+'püm-TASZII.'!L14+'püm Festetics'!L14</f>
        <v>569138</v>
      </c>
      <c r="M12" s="193">
        <f>'pü.mérleg Önkorm.'!M12+'pü.mérleg Hivatal'!N14+'püm. GAMESZ. '!M14+püm.Brunszvik!M14+'püm-TASZII.'!M14+'püm Festetics'!M14</f>
        <v>519434</v>
      </c>
      <c r="N12" s="339">
        <f>SUM(L12:M12)</f>
        <v>1088572</v>
      </c>
      <c r="O12" s="1330">
        <v>74919</v>
      </c>
      <c r="P12" s="327">
        <v>53218</v>
      </c>
      <c r="Q12" s="119">
        <f t="shared" si="1"/>
        <v>644057</v>
      </c>
      <c r="R12" s="119">
        <f t="shared" si="2"/>
        <v>572652</v>
      </c>
      <c r="S12" s="1361">
        <f t="shared" si="3"/>
        <v>1216709</v>
      </c>
      <c r="T12" s="9"/>
      <c r="U12" s="9"/>
      <c r="V12" s="9"/>
      <c r="W12" s="9"/>
      <c r="X12" s="9"/>
    </row>
    <row r="13" spans="1:24" ht="12" customHeight="1" x14ac:dyDescent="0.2">
      <c r="A13" s="552">
        <f t="shared" si="0"/>
        <v>5</v>
      </c>
      <c r="B13" s="1327" t="s">
        <v>193</v>
      </c>
      <c r="C13" s="193">
        <f>'tám, végl. pe.átv  '!C37+'tám, végl. pe.átv  '!C48+'tám, végl. pe.átv  '!C54+'tám, végl. pe.átv  '!C71</f>
        <v>30732</v>
      </c>
      <c r="D13" s="193">
        <f>'tám, végl. pe.átv  '!D37+'tám, végl. pe.átv  '!D48+'tám, végl. pe.átv  '!D54+'tám, végl. pe.átv  '!D71+'tám, végl. pe.átv  '!D59</f>
        <v>26537</v>
      </c>
      <c r="E13" s="339">
        <f>'tám, végl. pe.átv  '!E37+'tám, végl. pe.átv  '!E48+'tám, végl. pe.átv  '!E54+'tám, végl. pe.átv  '!E71+'tám, végl. pe.átv  '!E59</f>
        <v>57269</v>
      </c>
      <c r="F13" s="193">
        <v>975</v>
      </c>
      <c r="G13" s="339">
        <v>-14011</v>
      </c>
      <c r="H13" s="193">
        <f t="shared" ref="H12:H54" si="4">C13+F13</f>
        <v>31707</v>
      </c>
      <c r="I13" s="193">
        <f t="shared" ref="I12:I54" si="5">D13+G13</f>
        <v>12526</v>
      </c>
      <c r="J13" s="339">
        <f t="shared" ref="J12:J54" si="6">H13+I13</f>
        <v>44233</v>
      </c>
      <c r="K13" s="193"/>
      <c r="L13" s="193"/>
      <c r="M13" s="193"/>
      <c r="N13" s="1355"/>
      <c r="O13" s="1330"/>
      <c r="P13" s="1365"/>
      <c r="Q13" s="119"/>
      <c r="R13" s="119"/>
      <c r="S13" s="1361"/>
      <c r="T13" s="9"/>
      <c r="U13" s="9"/>
      <c r="V13" s="9"/>
      <c r="W13" s="9"/>
      <c r="X13" s="9"/>
    </row>
    <row r="14" spans="1:24" x14ac:dyDescent="0.2">
      <c r="A14" s="552">
        <f t="shared" si="0"/>
        <v>6</v>
      </c>
      <c r="B14" s="118" t="s">
        <v>1141</v>
      </c>
      <c r="C14" s="193"/>
      <c r="D14" s="193"/>
      <c r="E14" s="339"/>
      <c r="F14" s="193"/>
      <c r="G14" s="339"/>
      <c r="H14" s="193"/>
      <c r="I14" s="193"/>
      <c r="J14" s="339"/>
      <c r="K14" s="193" t="s">
        <v>219</v>
      </c>
      <c r="L14" s="193">
        <f>'pü.mérleg Önkorm.'!L14+'pü.mérleg Hivatal'!M16</f>
        <v>3039</v>
      </c>
      <c r="M14" s="193">
        <f>'pü.mérleg Önkorm.'!M14+'pü.mérleg Hivatal'!N16</f>
        <v>10950</v>
      </c>
      <c r="N14" s="339">
        <f>'pü.mérleg Önkorm.'!N14+'pü.mérleg Hivatal'!O16</f>
        <v>13989</v>
      </c>
      <c r="O14" s="1330"/>
      <c r="P14" s="1365"/>
      <c r="Q14" s="119">
        <f t="shared" si="1"/>
        <v>3039</v>
      </c>
      <c r="R14" s="119">
        <f t="shared" si="2"/>
        <v>10950</v>
      </c>
      <c r="S14" s="1361">
        <f t="shared" si="3"/>
        <v>13989</v>
      </c>
      <c r="T14" s="9"/>
      <c r="U14" s="9"/>
      <c r="V14" s="9"/>
      <c r="W14" s="9"/>
      <c r="X14" s="9"/>
    </row>
    <row r="15" spans="1:24" x14ac:dyDescent="0.2">
      <c r="A15" s="552">
        <f t="shared" si="0"/>
        <v>7</v>
      </c>
      <c r="B15" s="118" t="s">
        <v>1139</v>
      </c>
      <c r="C15" s="193">
        <f>'pü.mérleg Önkorm.'!C15</f>
        <v>0</v>
      </c>
      <c r="D15" s="193">
        <f>'pü.mérleg Önkorm.'!D15</f>
        <v>0</v>
      </c>
      <c r="E15" s="339">
        <f>'pü.mérleg Önkorm.'!E15</f>
        <v>0</v>
      </c>
      <c r="F15" s="193"/>
      <c r="G15" s="339"/>
      <c r="H15" s="193"/>
      <c r="I15" s="193"/>
      <c r="J15" s="339"/>
      <c r="K15" s="193"/>
      <c r="L15" s="193"/>
      <c r="M15" s="193"/>
      <c r="N15" s="339"/>
      <c r="O15" s="1330"/>
      <c r="P15" s="1365"/>
      <c r="Q15" s="119"/>
      <c r="R15" s="119"/>
      <c r="S15" s="1361"/>
      <c r="T15" s="9"/>
      <c r="U15" s="9"/>
      <c r="V15" s="9"/>
      <c r="W15" s="9"/>
      <c r="X15" s="9"/>
    </row>
    <row r="16" spans="1:24" x14ac:dyDescent="0.2">
      <c r="A16" s="552">
        <f t="shared" si="0"/>
        <v>8</v>
      </c>
      <c r="B16" s="1328" t="s">
        <v>1140</v>
      </c>
      <c r="C16" s="193">
        <f>'pü.mérleg Önkorm.'!C16+'pü.mérleg Hivatal'!D16+'püm. GAMESZ. '!C16+püm.Brunszvik!C16+'püm Festetics'!C16+'püm-TASZII.'!C16</f>
        <v>0</v>
      </c>
      <c r="D16" s="193">
        <f>'pü.mérleg Önkorm.'!D16+'pü.mérleg Hivatal'!E16+'püm. GAMESZ. '!D16+püm.Brunszvik!D16+'püm Festetics'!D16+'püm-TASZII.'!D16</f>
        <v>0</v>
      </c>
      <c r="E16" s="339">
        <f>'pü.mérleg Önkorm.'!E16+'pü.mérleg Hivatal'!F16+'püm. GAMESZ. '!E16+püm.Brunszvik!E16+'püm Festetics'!E16+'püm-TASZII.'!E16</f>
        <v>0</v>
      </c>
      <c r="F16" s="193"/>
      <c r="G16" s="339">
        <v>14540</v>
      </c>
      <c r="H16" s="193">
        <f t="shared" si="4"/>
        <v>0</v>
      </c>
      <c r="I16" s="193">
        <f t="shared" si="5"/>
        <v>14540</v>
      </c>
      <c r="J16" s="339">
        <f t="shared" si="6"/>
        <v>14540</v>
      </c>
      <c r="K16" s="193" t="s">
        <v>220</v>
      </c>
      <c r="L16" s="200"/>
      <c r="M16" s="200"/>
      <c r="N16" s="1355"/>
      <c r="O16" s="1330"/>
      <c r="P16" s="1365"/>
      <c r="Q16" s="119"/>
      <c r="R16" s="119"/>
      <c r="S16" s="1361"/>
      <c r="T16" s="9"/>
      <c r="U16" s="9"/>
      <c r="V16" s="9"/>
      <c r="W16" s="9"/>
      <c r="X16" s="9"/>
    </row>
    <row r="17" spans="1:24" x14ac:dyDescent="0.2">
      <c r="A17" s="552">
        <f t="shared" si="0"/>
        <v>9</v>
      </c>
      <c r="B17" s="118" t="s">
        <v>194</v>
      </c>
      <c r="C17" s="193">
        <f>'pü.mérleg Önkorm.'!C17+'püm. GAMESZ. '!C18+püm.Brunszvik!C18+'püm-TASZII.'!C18+'pü.mérleg Hivatal'!D17+püm.Brunszvik!C18</f>
        <v>376462</v>
      </c>
      <c r="D17" s="193">
        <f>'mük. bev.Önkor és Hivatal '!F40</f>
        <v>863942</v>
      </c>
      <c r="E17" s="339">
        <f>SUM(C17:D17)</f>
        <v>1240404</v>
      </c>
      <c r="F17" s="193">
        <v>1285</v>
      </c>
      <c r="G17" s="339">
        <v>-1285</v>
      </c>
      <c r="H17" s="193">
        <f t="shared" si="4"/>
        <v>377747</v>
      </c>
      <c r="I17" s="193">
        <f t="shared" si="5"/>
        <v>862657</v>
      </c>
      <c r="J17" s="339">
        <f t="shared" si="6"/>
        <v>1240404</v>
      </c>
      <c r="K17" s="193" t="s">
        <v>221</v>
      </c>
      <c r="L17" s="193">
        <f>'pü.mérleg Önkorm.'!L17+'pü.mérleg Hivatal'!M18</f>
        <v>5850</v>
      </c>
      <c r="M17" s="193">
        <f>'pü.mérleg Önkorm.'!M17+'pü.mérleg Hivatal'!N18</f>
        <v>53735</v>
      </c>
      <c r="N17" s="339">
        <f>'pü.mérleg Önkorm.'!N17+'pü.mérleg Hivatal'!O18</f>
        <v>59585</v>
      </c>
      <c r="O17" s="1330">
        <v>13</v>
      </c>
      <c r="P17" s="1365">
        <v>5106</v>
      </c>
      <c r="Q17" s="119">
        <f t="shared" si="1"/>
        <v>5863</v>
      </c>
      <c r="R17" s="119">
        <f t="shared" si="2"/>
        <v>58841</v>
      </c>
      <c r="S17" s="1361">
        <f t="shared" si="3"/>
        <v>64704</v>
      </c>
      <c r="T17" s="9"/>
      <c r="U17" s="9"/>
      <c r="V17" s="9"/>
      <c r="W17" s="9"/>
      <c r="X17" s="9"/>
    </row>
    <row r="18" spans="1:24" x14ac:dyDescent="0.2">
      <c r="A18" s="552">
        <f t="shared" si="0"/>
        <v>10</v>
      </c>
      <c r="B18" s="120" t="s">
        <v>40</v>
      </c>
      <c r="C18" s="193">
        <f>'pü.mérleg Önkorm.'!C18+'püm. GAMESZ. '!C19+püm.Brunszvik!C19+'püm-TASZII.'!C19+'pü.mérleg Hivatal'!D18+püm.Brunszvik!C19</f>
        <v>0</v>
      </c>
      <c r="D18" s="1329"/>
      <c r="E18" s="1355"/>
      <c r="F18" s="1329"/>
      <c r="G18" s="1355"/>
      <c r="H18" s="193"/>
      <c r="I18" s="193"/>
      <c r="J18" s="339"/>
      <c r="K18" s="193" t="s">
        <v>222</v>
      </c>
      <c r="L18" s="193">
        <f>'pü.mérleg Önkorm.'!L18</f>
        <v>116758</v>
      </c>
      <c r="M18" s="193">
        <f>'pü.mérleg Önkorm.'!M18</f>
        <v>175656</v>
      </c>
      <c r="N18" s="339">
        <f>'pü.mérleg Önkorm.'!N18</f>
        <v>292414</v>
      </c>
      <c r="O18" s="1330">
        <v>-1337</v>
      </c>
      <c r="P18" s="1365">
        <v>950</v>
      </c>
      <c r="Q18" s="119">
        <f t="shared" si="1"/>
        <v>115421</v>
      </c>
      <c r="R18" s="119">
        <f t="shared" si="2"/>
        <v>176606</v>
      </c>
      <c r="S18" s="1361">
        <f t="shared" si="3"/>
        <v>292027</v>
      </c>
      <c r="T18" s="9"/>
      <c r="U18" s="9"/>
      <c r="V18" s="9"/>
      <c r="W18" s="9"/>
      <c r="X18" s="9"/>
    </row>
    <row r="19" spans="1:24" x14ac:dyDescent="0.2">
      <c r="A19" s="552">
        <f t="shared" si="0"/>
        <v>11</v>
      </c>
      <c r="B19" s="120"/>
      <c r="C19" s="193"/>
      <c r="D19" s="1329"/>
      <c r="E19" s="1355"/>
      <c r="F19" s="1329"/>
      <c r="G19" s="1355"/>
      <c r="H19" s="193"/>
      <c r="I19" s="193"/>
      <c r="J19" s="339"/>
      <c r="K19" s="193" t="s">
        <v>223</v>
      </c>
      <c r="L19" s="193">
        <f>'pü.mérleg Önkorm.'!L19+'pü.mérleg Hivatal'!M20+'püm. GAMESZ. '!L20+püm.Brunszvik!L20+'püm Festetics'!L20+'püm-TASZII.'!L20</f>
        <v>0</v>
      </c>
      <c r="M19" s="193">
        <f>'pü.mérleg Önkorm.'!M19+'pü.mérleg Hivatal'!N20+'püm. GAMESZ. '!M20+püm.Brunszvik!M20+'püm Festetics'!M20+'püm-TASZII.'!M20</f>
        <v>0</v>
      </c>
      <c r="N19" s="339">
        <f>'pü.mérleg Önkorm.'!N19+'pü.mérleg Hivatal'!O20+'püm. GAMESZ. '!N20+püm.Brunszvik!N20+'püm Festetics'!N20+'püm-TASZII.'!N20</f>
        <v>0</v>
      </c>
      <c r="O19" s="1330"/>
      <c r="P19" s="1365"/>
      <c r="Q19" s="119"/>
      <c r="R19" s="119"/>
      <c r="S19" s="1361"/>
      <c r="T19" s="9"/>
      <c r="U19" s="9"/>
      <c r="V19" s="9"/>
      <c r="W19" s="9"/>
      <c r="X19" s="9"/>
    </row>
    <row r="20" spans="1:24" x14ac:dyDescent="0.2">
      <c r="A20" s="552">
        <f t="shared" si="0"/>
        <v>12</v>
      </c>
      <c r="B20" s="118" t="s">
        <v>195</v>
      </c>
      <c r="C20" s="193">
        <f>'pü.mérleg Önkorm.'!C20+'pü.mérleg Hivatal'!D20+'püm. GAMESZ. '!C20+püm.Brunszvik!C20+'püm-TASZII.'!C20+'püm Festetics'!C20</f>
        <v>320112</v>
      </c>
      <c r="D20" s="193">
        <f>'pü.mérleg Önkorm.'!D20+'pü.mérleg Hivatal'!E20+'püm. GAMESZ. '!D20+püm.Brunszvik!D20+'püm-TASZII.'!D20+'püm Festetics'!D20</f>
        <v>283155</v>
      </c>
      <c r="E20" s="339">
        <f>SUM(C20:D20)</f>
        <v>603267</v>
      </c>
      <c r="F20" s="193">
        <v>5593</v>
      </c>
      <c r="G20" s="339">
        <v>5977</v>
      </c>
      <c r="H20" s="193">
        <f t="shared" si="4"/>
        <v>325705</v>
      </c>
      <c r="I20" s="193">
        <f t="shared" si="5"/>
        <v>289132</v>
      </c>
      <c r="J20" s="339">
        <f t="shared" si="6"/>
        <v>614837</v>
      </c>
      <c r="K20" s="193" t="s">
        <v>224</v>
      </c>
      <c r="L20" s="193"/>
      <c r="M20" s="193">
        <f>'pü.mérleg Önkorm.'!M20</f>
        <v>35000</v>
      </c>
      <c r="N20" s="1355">
        <f>SUM(L20:M20)</f>
        <v>35000</v>
      </c>
      <c r="O20" s="1330"/>
      <c r="P20" s="1365">
        <v>-1208</v>
      </c>
      <c r="Q20" s="119">
        <f t="shared" si="1"/>
        <v>0</v>
      </c>
      <c r="R20" s="119">
        <f t="shared" si="2"/>
        <v>33792</v>
      </c>
      <c r="S20" s="1361">
        <f t="shared" si="3"/>
        <v>33792</v>
      </c>
      <c r="T20" s="9"/>
      <c r="U20" s="9"/>
      <c r="V20" s="9"/>
      <c r="W20" s="9"/>
      <c r="X20" s="9"/>
    </row>
    <row r="21" spans="1:24" x14ac:dyDescent="0.2">
      <c r="A21" s="552">
        <f t="shared" si="0"/>
        <v>13</v>
      </c>
      <c r="B21" s="1330"/>
      <c r="C21" s="1329"/>
      <c r="D21" s="1329"/>
      <c r="E21" s="1355"/>
      <c r="F21" s="1329"/>
      <c r="G21" s="1355"/>
      <c r="H21" s="193"/>
      <c r="I21" s="193"/>
      <c r="J21" s="339"/>
      <c r="K21" s="193" t="s">
        <v>225</v>
      </c>
      <c r="L21" s="193">
        <f>'pü.mérleg Önkorm.'!L21</f>
        <v>63771</v>
      </c>
      <c r="M21" s="193">
        <f>'pü.mérleg Önkorm.'!M21</f>
        <v>11007</v>
      </c>
      <c r="N21" s="1355">
        <f>SUM(L21:M21)</f>
        <v>74778</v>
      </c>
      <c r="O21" s="1330">
        <v>17433</v>
      </c>
      <c r="P21" s="1365">
        <v>17558</v>
      </c>
      <c r="Q21" s="119">
        <f t="shared" si="1"/>
        <v>81204</v>
      </c>
      <c r="R21" s="119">
        <f t="shared" si="2"/>
        <v>28565</v>
      </c>
      <c r="S21" s="1361">
        <f t="shared" si="3"/>
        <v>109769</v>
      </c>
      <c r="T21" s="9"/>
      <c r="U21" s="9"/>
      <c r="V21" s="9"/>
      <c r="W21" s="9"/>
      <c r="X21" s="9"/>
    </row>
    <row r="22" spans="1:24" s="97" customFormat="1" x14ac:dyDescent="0.2">
      <c r="A22" s="552">
        <f t="shared" si="0"/>
        <v>14</v>
      </c>
      <c r="B22" s="118" t="s">
        <v>197</v>
      </c>
      <c r="C22" s="1329"/>
      <c r="D22" s="1329"/>
      <c r="E22" s="1355"/>
      <c r="F22" s="1329"/>
      <c r="G22" s="1355"/>
      <c r="H22" s="193"/>
      <c r="I22" s="193"/>
      <c r="J22" s="339"/>
      <c r="K22" s="200"/>
      <c r="L22" s="200"/>
      <c r="M22" s="200"/>
      <c r="N22" s="1361"/>
      <c r="O22" s="1347"/>
      <c r="P22" s="1366"/>
      <c r="Q22" s="119"/>
      <c r="R22" s="119"/>
      <c r="S22" s="1361"/>
    </row>
    <row r="23" spans="1:24" s="97" customFormat="1" x14ac:dyDescent="0.2">
      <c r="A23" s="552">
        <f t="shared" si="0"/>
        <v>15</v>
      </c>
      <c r="B23" s="118" t="s">
        <v>196</v>
      </c>
      <c r="C23" s="1329"/>
      <c r="D23" s="1329"/>
      <c r="E23" s="1355"/>
      <c r="F23" s="1329"/>
      <c r="G23" s="1355"/>
      <c r="H23" s="193"/>
      <c r="I23" s="193"/>
      <c r="J23" s="339"/>
      <c r="K23" s="200"/>
      <c r="L23" s="200"/>
      <c r="M23" s="200"/>
      <c r="N23" s="1361"/>
      <c r="O23" s="1347"/>
      <c r="P23" s="1366"/>
      <c r="Q23" s="119"/>
      <c r="R23" s="119"/>
      <c r="S23" s="1361"/>
    </row>
    <row r="24" spans="1:24" x14ac:dyDescent="0.2">
      <c r="A24" s="552">
        <f t="shared" si="0"/>
        <v>16</v>
      </c>
      <c r="B24" s="118" t="s">
        <v>199</v>
      </c>
      <c r="C24" s="1331">
        <f>'felh. bev.  '!D12</f>
        <v>0</v>
      </c>
      <c r="D24" s="193">
        <f>'pü.mérleg Önkorm.'!D24+'pü.mérleg Hivatal'!E24+'püm. GAMESZ. '!D24+püm.Brunszvik!D24+'püm-TASZII.'!D24</f>
        <v>19400</v>
      </c>
      <c r="E24" s="1355">
        <f>SUM(C24:D24)</f>
        <v>19400</v>
      </c>
      <c r="F24" s="1329">
        <v>1447</v>
      </c>
      <c r="G24" s="1355">
        <v>9900</v>
      </c>
      <c r="H24" s="193">
        <f t="shared" si="4"/>
        <v>1447</v>
      </c>
      <c r="I24" s="193">
        <f t="shared" si="5"/>
        <v>29300</v>
      </c>
      <c r="J24" s="339">
        <f t="shared" si="6"/>
        <v>30747</v>
      </c>
      <c r="K24" s="1349" t="s">
        <v>66</v>
      </c>
      <c r="L24" s="1349">
        <f>SUM(L10:L22)</f>
        <v>1451020</v>
      </c>
      <c r="M24" s="1349">
        <f>SUM(M10:M22)</f>
        <v>1283904</v>
      </c>
      <c r="N24" s="1362">
        <f>SUM(N10:N22)</f>
        <v>2734924</v>
      </c>
      <c r="O24" s="1333">
        <f>SUM(O10:O23)</f>
        <v>93410</v>
      </c>
      <c r="P24" s="1400">
        <f>SUM(P10:P23)</f>
        <v>91808</v>
      </c>
      <c r="Q24" s="1374">
        <f t="shared" si="1"/>
        <v>1544430</v>
      </c>
      <c r="R24" s="1374">
        <f t="shared" si="2"/>
        <v>1375712</v>
      </c>
      <c r="S24" s="1362">
        <f t="shared" si="3"/>
        <v>2920142</v>
      </c>
      <c r="T24" s="9"/>
      <c r="U24" s="9"/>
      <c r="V24" s="9"/>
      <c r="W24" s="9"/>
      <c r="X24" s="9"/>
    </row>
    <row r="25" spans="1:24" x14ac:dyDescent="0.2">
      <c r="A25" s="552">
        <f t="shared" si="0"/>
        <v>17</v>
      </c>
      <c r="B25" s="118" t="s">
        <v>200</v>
      </c>
      <c r="C25" s="1329">
        <f>'felh. bev.  '!D13</f>
        <v>0</v>
      </c>
      <c r="D25" s="1329">
        <f>'felh. bev.  '!E13+'felh. bev.  '!E14+'felh. bev.  '!E42</f>
        <v>0</v>
      </c>
      <c r="E25" s="1355">
        <f>'felh. bev.  '!F13+'felh. bev.  '!F14+'felh. bev.  '!F42</f>
        <v>0</v>
      </c>
      <c r="F25" s="1329"/>
      <c r="G25" s="1355">
        <v>1289</v>
      </c>
      <c r="H25" s="193">
        <f t="shared" si="4"/>
        <v>0</v>
      </c>
      <c r="I25" s="193">
        <f t="shared" si="5"/>
        <v>1289</v>
      </c>
      <c r="J25" s="339">
        <f t="shared" si="6"/>
        <v>1289</v>
      </c>
      <c r="K25" s="200"/>
      <c r="L25" s="200"/>
      <c r="M25" s="200"/>
      <c r="N25" s="1361"/>
      <c r="O25" s="1330"/>
      <c r="P25" s="1365"/>
      <c r="Q25" s="119"/>
      <c r="R25" s="119"/>
      <c r="S25" s="1361"/>
      <c r="T25" s="9"/>
      <c r="U25" s="9"/>
      <c r="V25" s="9"/>
      <c r="W25" s="9"/>
      <c r="X25" s="9"/>
    </row>
    <row r="26" spans="1:24" x14ac:dyDescent="0.2">
      <c r="A26" s="552">
        <f t="shared" si="0"/>
        <v>18</v>
      </c>
      <c r="B26" s="118" t="s">
        <v>201</v>
      </c>
      <c r="C26" s="1332"/>
      <c r="D26" s="193">
        <f>'pü.mérleg Önkorm.'!D26</f>
        <v>180</v>
      </c>
      <c r="E26" s="1355">
        <f>SUM(C26:D26)</f>
        <v>180</v>
      </c>
      <c r="F26" s="1329"/>
      <c r="G26" s="1355"/>
      <c r="H26" s="193">
        <f t="shared" si="4"/>
        <v>0</v>
      </c>
      <c r="I26" s="193">
        <f t="shared" si="5"/>
        <v>180</v>
      </c>
      <c r="J26" s="339">
        <f t="shared" si="6"/>
        <v>180</v>
      </c>
      <c r="K26" s="1332" t="s">
        <v>226</v>
      </c>
      <c r="L26" s="1336"/>
      <c r="M26" s="1336"/>
      <c r="N26" s="1361"/>
      <c r="O26" s="1330"/>
      <c r="P26" s="1365"/>
      <c r="Q26" s="119"/>
      <c r="R26" s="119"/>
      <c r="S26" s="1361"/>
      <c r="T26" s="9"/>
      <c r="U26" s="9"/>
      <c r="V26" s="9"/>
      <c r="W26" s="9"/>
      <c r="X26" s="9"/>
    </row>
    <row r="27" spans="1:24" x14ac:dyDescent="0.2">
      <c r="A27" s="552">
        <f t="shared" si="0"/>
        <v>19</v>
      </c>
      <c r="B27" s="118" t="s">
        <v>202</v>
      </c>
      <c r="C27" s="193"/>
      <c r="D27" s="193"/>
      <c r="E27" s="339"/>
      <c r="F27" s="193"/>
      <c r="G27" s="339"/>
      <c r="H27" s="193"/>
      <c r="I27" s="193"/>
      <c r="J27" s="339"/>
      <c r="K27" s="193" t="s">
        <v>227</v>
      </c>
      <c r="L27" s="200">
        <f>'pü.mérleg Önkorm.'!L27+'pü.mérleg Hivatal'!M27+'püm. GAMESZ. '!L27+'püm-TASZII.'!L27+püm.Brunszvik!L27+'püm Festetics'!L27</f>
        <v>924503</v>
      </c>
      <c r="M27" s="200">
        <f>'pü.mérleg Önkorm.'!M27+'pü.mérleg Hivatal'!N27+'püm. GAMESZ. '!M27+'püm-TASZII.'!M27+'püm Festetics'!M27</f>
        <v>218985</v>
      </c>
      <c r="N27" s="1361">
        <f>SUM(L27:M27)</f>
        <v>1143488</v>
      </c>
      <c r="O27" s="119">
        <v>53249</v>
      </c>
      <c r="P27" s="327">
        <v>-16920</v>
      </c>
      <c r="Q27" s="119">
        <f t="shared" si="1"/>
        <v>977752</v>
      </c>
      <c r="R27" s="119">
        <f t="shared" si="2"/>
        <v>202065</v>
      </c>
      <c r="S27" s="1361">
        <f t="shared" si="3"/>
        <v>1179817</v>
      </c>
      <c r="T27" s="9"/>
      <c r="U27" s="9"/>
      <c r="V27" s="9"/>
      <c r="W27" s="9"/>
      <c r="X27" s="9"/>
    </row>
    <row r="28" spans="1:24" x14ac:dyDescent="0.2">
      <c r="A28" s="552">
        <f t="shared" si="0"/>
        <v>20</v>
      </c>
      <c r="B28" s="118"/>
      <c r="C28" s="193"/>
      <c r="D28" s="193"/>
      <c r="E28" s="339"/>
      <c r="F28" s="193"/>
      <c r="G28" s="339"/>
      <c r="H28" s="193"/>
      <c r="I28" s="193"/>
      <c r="J28" s="339"/>
      <c r="K28" s="193" t="s">
        <v>228</v>
      </c>
      <c r="L28" s="200">
        <f>'felhalm. kiad.  '!M24</f>
        <v>0</v>
      </c>
      <c r="M28" s="200">
        <f>'felhalm. kiad.  '!P24</f>
        <v>0</v>
      </c>
      <c r="N28" s="1361">
        <f>SUM(L28:M28)</f>
        <v>0</v>
      </c>
      <c r="O28" s="1330">
        <v>49715</v>
      </c>
      <c r="P28" s="1365">
        <v>2500</v>
      </c>
      <c r="Q28" s="119">
        <f t="shared" si="1"/>
        <v>49715</v>
      </c>
      <c r="R28" s="119">
        <f t="shared" si="2"/>
        <v>2500</v>
      </c>
      <c r="S28" s="1361">
        <f t="shared" si="3"/>
        <v>52215</v>
      </c>
      <c r="T28" s="9"/>
      <c r="U28" s="9"/>
      <c r="V28" s="9"/>
      <c r="W28" s="9"/>
      <c r="X28" s="9"/>
    </row>
    <row r="29" spans="1:24" x14ac:dyDescent="0.2">
      <c r="A29" s="552">
        <f t="shared" si="0"/>
        <v>21</v>
      </c>
      <c r="B29" s="118" t="s">
        <v>203</v>
      </c>
      <c r="C29" s="193">
        <f>'tám, végl. pe.átv  '!C42+'tám, végl. pe.átv  '!C61</f>
        <v>0</v>
      </c>
      <c r="D29" s="193">
        <f>'tám, végl. pe.átv  '!D42+'tám, végl. pe.átv  '!D61</f>
        <v>0</v>
      </c>
      <c r="E29" s="339">
        <f>'tám, végl. pe.átv  '!E42+'tám, végl. pe.átv  '!E61</f>
        <v>0</v>
      </c>
      <c r="F29" s="193"/>
      <c r="G29" s="339">
        <v>203</v>
      </c>
      <c r="H29" s="193">
        <f t="shared" si="4"/>
        <v>0</v>
      </c>
      <c r="I29" s="193">
        <f t="shared" si="5"/>
        <v>203</v>
      </c>
      <c r="J29" s="339">
        <f t="shared" si="6"/>
        <v>203</v>
      </c>
      <c r="K29" s="193" t="s">
        <v>229</v>
      </c>
      <c r="L29" s="200"/>
      <c r="M29" s="200"/>
      <c r="N29" s="1361"/>
      <c r="O29" s="1330"/>
      <c r="P29" s="1365"/>
      <c r="Q29" s="119"/>
      <c r="R29" s="119"/>
      <c r="S29" s="1361"/>
      <c r="T29" s="9"/>
      <c r="U29" s="9"/>
      <c r="V29" s="9"/>
      <c r="W29" s="9"/>
      <c r="X29" s="9"/>
    </row>
    <row r="30" spans="1:24" s="97" customFormat="1" x14ac:dyDescent="0.2">
      <c r="A30" s="552">
        <f t="shared" si="0"/>
        <v>22</v>
      </c>
      <c r="B30" s="118" t="s">
        <v>204</v>
      </c>
      <c r="C30" s="193">
        <f>'felh. bev.  '!D32+'felh. bev.  '!D36</f>
        <v>0</v>
      </c>
      <c r="D30" s="193">
        <f>'felh. bev.  '!E32+'felh. bev.  '!E36</f>
        <v>2870</v>
      </c>
      <c r="E30" s="339">
        <f>'felh. bev.  '!F32+'felh. bev.  '!F36</f>
        <v>2870</v>
      </c>
      <c r="F30" s="193"/>
      <c r="G30" s="339"/>
      <c r="H30" s="193">
        <f t="shared" si="4"/>
        <v>0</v>
      </c>
      <c r="I30" s="193">
        <f t="shared" si="5"/>
        <v>2870</v>
      </c>
      <c r="J30" s="339">
        <f t="shared" si="6"/>
        <v>2870</v>
      </c>
      <c r="K30" s="1346" t="s">
        <v>230</v>
      </c>
      <c r="L30" s="200">
        <f>'felhalm. kiad.  '!M75</f>
        <v>0</v>
      </c>
      <c r="M30" s="200">
        <f>'felhalm. kiad.  '!P75</f>
        <v>0</v>
      </c>
      <c r="N30" s="1361">
        <f>SUM(L30:M30)</f>
        <v>0</v>
      </c>
      <c r="O30" s="1330">
        <v>12004</v>
      </c>
      <c r="P30" s="1365">
        <v>78232</v>
      </c>
      <c r="Q30" s="119">
        <f t="shared" si="1"/>
        <v>12004</v>
      </c>
      <c r="R30" s="119">
        <f t="shared" si="2"/>
        <v>78232</v>
      </c>
      <c r="S30" s="1361">
        <f t="shared" si="3"/>
        <v>90236</v>
      </c>
    </row>
    <row r="31" spans="1:24" s="97" customFormat="1" x14ac:dyDescent="0.2">
      <c r="A31" s="552">
        <f t="shared" si="0"/>
        <v>23</v>
      </c>
      <c r="B31" s="118"/>
      <c r="C31" s="193"/>
      <c r="D31" s="193"/>
      <c r="E31" s="339"/>
      <c r="F31" s="193"/>
      <c r="G31" s="339"/>
      <c r="H31" s="193"/>
      <c r="I31" s="193"/>
      <c r="J31" s="339"/>
      <c r="K31" s="1346" t="s">
        <v>1156</v>
      </c>
      <c r="L31" s="200">
        <f>'pü.mérleg Önkorm.'!L31</f>
        <v>0</v>
      </c>
      <c r="M31" s="200">
        <f>'pü.mérleg Önkorm.'!M31</f>
        <v>5000</v>
      </c>
      <c r="N31" s="1361">
        <f>'pü.mérleg Önkorm.'!N31</f>
        <v>5000</v>
      </c>
      <c r="O31" s="1347"/>
      <c r="P31" s="1366"/>
      <c r="Q31" s="119">
        <f t="shared" si="1"/>
        <v>0</v>
      </c>
      <c r="R31" s="119">
        <f t="shared" si="2"/>
        <v>5000</v>
      </c>
      <c r="S31" s="1361">
        <f t="shared" si="3"/>
        <v>5000</v>
      </c>
    </row>
    <row r="32" spans="1:24" x14ac:dyDescent="0.2">
      <c r="A32" s="552">
        <f t="shared" si="0"/>
        <v>24</v>
      </c>
      <c r="B32" s="1330"/>
      <c r="C32" s="193"/>
      <c r="D32" s="193"/>
      <c r="E32" s="339"/>
      <c r="F32" s="193"/>
      <c r="G32" s="339"/>
      <c r="H32" s="193"/>
      <c r="I32" s="193"/>
      <c r="J32" s="339"/>
      <c r="K32" s="1346" t="s">
        <v>280</v>
      </c>
      <c r="L32" s="200">
        <f>'pü.mérleg Önkorm.'!L32+'pü.mérleg Hivatal'!M31+'püm. GAMESZ. '!L31+'püm-TASZII.'!L31</f>
        <v>47741</v>
      </c>
      <c r="M32" s="200">
        <f>'pü.mérleg Önkorm.'!M32+'pü.mérleg Hivatal'!N31+'püm. GAMESZ. '!M31+'püm-TASZII.'!M31</f>
        <v>4350</v>
      </c>
      <c r="N32" s="1361">
        <f>SUM(L32:M32)</f>
        <v>52091</v>
      </c>
      <c r="O32" s="1330">
        <v>1947</v>
      </c>
      <c r="P32" s="1365"/>
      <c r="Q32" s="119">
        <f t="shared" si="1"/>
        <v>49688</v>
      </c>
      <c r="R32" s="119">
        <f t="shared" si="2"/>
        <v>4350</v>
      </c>
      <c r="S32" s="1361">
        <f t="shared" si="3"/>
        <v>54038</v>
      </c>
      <c r="T32" s="9"/>
      <c r="U32" s="9"/>
      <c r="V32" s="9"/>
      <c r="W32" s="9"/>
      <c r="X32" s="9"/>
    </row>
    <row r="33" spans="1:24" s="10" customFormat="1" x14ac:dyDescent="0.2">
      <c r="A33" s="552">
        <f t="shared" si="0"/>
        <v>25</v>
      </c>
      <c r="B33" s="1333" t="s">
        <v>52</v>
      </c>
      <c r="C33" s="1375">
        <f>C12+C20+C11+C17+C13+C29</f>
        <v>1509522</v>
      </c>
      <c r="D33" s="1375">
        <f>D12+D20+D11+D17+D13+D29</f>
        <v>1280134</v>
      </c>
      <c r="E33" s="1380">
        <f>E12+E20+E11+E17+E13+E29</f>
        <v>2789656</v>
      </c>
      <c r="F33" s="1375">
        <f>F11+F13+F17+F20</f>
        <v>14219</v>
      </c>
      <c r="G33" s="1380">
        <f>G11+G13+G17+G20+G29</f>
        <v>-7620</v>
      </c>
      <c r="H33" s="1349">
        <f t="shared" si="4"/>
        <v>1523741</v>
      </c>
      <c r="I33" s="1349">
        <f t="shared" si="5"/>
        <v>1272514</v>
      </c>
      <c r="J33" s="1362">
        <f t="shared" si="6"/>
        <v>2796255</v>
      </c>
      <c r="K33" s="193" t="s">
        <v>281</v>
      </c>
      <c r="L33" s="200">
        <f>tartalék!C18</f>
        <v>27422</v>
      </c>
      <c r="M33" s="200">
        <f>tartalék!D18</f>
        <v>81223</v>
      </c>
      <c r="N33" s="1361">
        <f>tartalék!E18</f>
        <v>108645</v>
      </c>
      <c r="O33" s="1330">
        <v>-2540</v>
      </c>
      <c r="P33" s="1365">
        <v>-68505</v>
      </c>
      <c r="Q33" s="119">
        <f t="shared" si="1"/>
        <v>24882</v>
      </c>
      <c r="R33" s="119">
        <f t="shared" si="2"/>
        <v>12718</v>
      </c>
      <c r="S33" s="1361">
        <f t="shared" si="3"/>
        <v>37600</v>
      </c>
    </row>
    <row r="34" spans="1:24" x14ac:dyDescent="0.2">
      <c r="A34" s="552">
        <f t="shared" si="0"/>
        <v>26</v>
      </c>
      <c r="B34" s="120" t="s">
        <v>67</v>
      </c>
      <c r="C34" s="1393">
        <f>C15+C16+C23+C24+C25+C26+C27+C30</f>
        <v>0</v>
      </c>
      <c r="D34" s="1393">
        <f t="shared" ref="D34" si="7">D15+D16+D23+D24+D25+D26+D27+D30</f>
        <v>22450</v>
      </c>
      <c r="E34" s="1398">
        <f>E15+E16+E23+E24+E25+E26+E27+E30</f>
        <v>22450</v>
      </c>
      <c r="F34" s="1393">
        <f>F24+F15+F16+F23+F25+F26+F27+F30</f>
        <v>1447</v>
      </c>
      <c r="G34" s="1398">
        <f>G24+G15+G16+G23+G25+G26+G27+G30</f>
        <v>25729</v>
      </c>
      <c r="H34" s="1336">
        <f t="shared" si="4"/>
        <v>1447</v>
      </c>
      <c r="I34" s="1336">
        <f t="shared" si="5"/>
        <v>48179</v>
      </c>
      <c r="J34" s="1356">
        <f t="shared" si="6"/>
        <v>49626</v>
      </c>
      <c r="K34" s="1334" t="s">
        <v>68</v>
      </c>
      <c r="L34" s="1393">
        <f>SUM(L27:L33)</f>
        <v>999666</v>
      </c>
      <c r="M34" s="1393">
        <f>SUM(M27:M33)</f>
        <v>309558</v>
      </c>
      <c r="N34" s="1398">
        <f>SUM(N27:N33)</f>
        <v>1309224</v>
      </c>
      <c r="O34" s="1394">
        <f>SUM(O27:O33)</f>
        <v>114375</v>
      </c>
      <c r="P34" s="1401">
        <f>SUM(P27:P33)</f>
        <v>-4693</v>
      </c>
      <c r="Q34" s="1394">
        <f t="shared" si="1"/>
        <v>1114041</v>
      </c>
      <c r="R34" s="1394">
        <f t="shared" si="2"/>
        <v>304865</v>
      </c>
      <c r="S34" s="1398">
        <f t="shared" si="3"/>
        <v>1418906</v>
      </c>
      <c r="T34" s="9"/>
      <c r="U34" s="9"/>
      <c r="V34" s="9"/>
      <c r="W34" s="9"/>
      <c r="X34" s="9"/>
    </row>
    <row r="35" spans="1:24" x14ac:dyDescent="0.2">
      <c r="A35" s="552">
        <f t="shared" si="0"/>
        <v>27</v>
      </c>
      <c r="B35" s="123" t="s">
        <v>51</v>
      </c>
      <c r="C35" s="1336">
        <f>SUM(C33:C34)</f>
        <v>1509522</v>
      </c>
      <c r="D35" s="1336">
        <f>SUM(D33:D34)</f>
        <v>1302584</v>
      </c>
      <c r="E35" s="1356">
        <f>SUM(C35:D35)</f>
        <v>2812106</v>
      </c>
      <c r="F35" s="1336">
        <f>F33+F34</f>
        <v>15666</v>
      </c>
      <c r="G35" s="1356">
        <f>G33+G34</f>
        <v>18109</v>
      </c>
      <c r="H35" s="1336">
        <f t="shared" si="4"/>
        <v>1525188</v>
      </c>
      <c r="I35" s="1336">
        <f t="shared" si="5"/>
        <v>1320693</v>
      </c>
      <c r="J35" s="1356">
        <f t="shared" si="6"/>
        <v>2845881</v>
      </c>
      <c r="K35" s="1336" t="s">
        <v>69</v>
      </c>
      <c r="L35" s="1336">
        <f>L24+L34</f>
        <v>2450686</v>
      </c>
      <c r="M35" s="1336">
        <f>M24+M34</f>
        <v>1593462</v>
      </c>
      <c r="N35" s="1356">
        <f>N24+N34</f>
        <v>4044148</v>
      </c>
      <c r="O35" s="121">
        <f>O24+O34</f>
        <v>207785</v>
      </c>
      <c r="P35" s="121">
        <f>P24+P34</f>
        <v>87115</v>
      </c>
      <c r="Q35" s="121">
        <f t="shared" si="1"/>
        <v>2658471</v>
      </c>
      <c r="R35" s="121">
        <f t="shared" si="2"/>
        <v>1680577</v>
      </c>
      <c r="S35" s="1356">
        <f t="shared" si="3"/>
        <v>4339048</v>
      </c>
      <c r="T35" s="9"/>
      <c r="U35" s="9"/>
      <c r="V35" s="9"/>
      <c r="W35" s="9"/>
      <c r="X35" s="9"/>
    </row>
    <row r="36" spans="1:24" x14ac:dyDescent="0.2">
      <c r="A36" s="552">
        <f t="shared" si="0"/>
        <v>28</v>
      </c>
      <c r="B36" s="1330"/>
      <c r="C36" s="193"/>
      <c r="D36" s="193"/>
      <c r="E36" s="339"/>
      <c r="F36" s="193"/>
      <c r="G36" s="339"/>
      <c r="H36" s="193"/>
      <c r="I36" s="193"/>
      <c r="J36" s="339"/>
      <c r="K36" s="200"/>
      <c r="L36" s="200"/>
      <c r="M36" s="200"/>
      <c r="N36" s="1361"/>
      <c r="O36" s="1330"/>
      <c r="P36" s="1365"/>
      <c r="Q36" s="119"/>
      <c r="R36" s="119"/>
      <c r="S36" s="1361"/>
      <c r="T36" s="9"/>
      <c r="U36" s="9"/>
      <c r="V36" s="9"/>
      <c r="W36" s="9"/>
      <c r="X36" s="9"/>
    </row>
    <row r="37" spans="1:24" x14ac:dyDescent="0.2">
      <c r="A37" s="552">
        <f t="shared" si="0"/>
        <v>29</v>
      </c>
      <c r="B37" s="1335" t="s">
        <v>23</v>
      </c>
      <c r="C37" s="1336">
        <f>C35-L35</f>
        <v>-941164</v>
      </c>
      <c r="D37" s="1336">
        <f>D35-M35</f>
        <v>-290878</v>
      </c>
      <c r="E37" s="1356">
        <f>E35-N35</f>
        <v>-1232042</v>
      </c>
      <c r="F37" s="1356">
        <f t="shared" ref="F37:G37" si="8">F35-O35</f>
        <v>-192119</v>
      </c>
      <c r="G37" s="1356">
        <f t="shared" si="8"/>
        <v>-69006</v>
      </c>
      <c r="H37" s="1336">
        <f t="shared" si="4"/>
        <v>-1133283</v>
      </c>
      <c r="I37" s="1336">
        <f t="shared" si="5"/>
        <v>-359884</v>
      </c>
      <c r="J37" s="1356">
        <f t="shared" si="6"/>
        <v>-1493167</v>
      </c>
      <c r="K37" s="1349"/>
      <c r="L37" s="1349"/>
      <c r="M37" s="1349"/>
      <c r="N37" s="1362"/>
      <c r="O37" s="1330"/>
      <c r="P37" s="1365"/>
      <c r="Q37" s="119"/>
      <c r="R37" s="119"/>
      <c r="S37" s="1361"/>
      <c r="T37" s="9"/>
      <c r="U37" s="9"/>
      <c r="V37" s="9"/>
      <c r="W37" s="9"/>
      <c r="X37" s="9"/>
    </row>
    <row r="38" spans="1:24" s="10" customFormat="1" x14ac:dyDescent="0.2">
      <c r="A38" s="552">
        <f t="shared" si="0"/>
        <v>30</v>
      </c>
      <c r="B38" s="1330"/>
      <c r="C38" s="193"/>
      <c r="D38" s="193"/>
      <c r="E38" s="339"/>
      <c r="F38" s="193"/>
      <c r="G38" s="339"/>
      <c r="H38" s="193"/>
      <c r="I38" s="193"/>
      <c r="J38" s="339"/>
      <c r="K38" s="200"/>
      <c r="L38" s="200"/>
      <c r="M38" s="200"/>
      <c r="N38" s="1361"/>
      <c r="O38" s="123"/>
      <c r="P38" s="1367"/>
      <c r="Q38" s="119"/>
      <c r="R38" s="119"/>
      <c r="S38" s="1361"/>
    </row>
    <row r="39" spans="1:24" s="10" customFormat="1" x14ac:dyDescent="0.2">
      <c r="A39" s="552">
        <f t="shared" si="0"/>
        <v>31</v>
      </c>
      <c r="B39" s="1337" t="s">
        <v>205</v>
      </c>
      <c r="C39" s="1332"/>
      <c r="D39" s="1332"/>
      <c r="E39" s="361"/>
      <c r="F39" s="1332"/>
      <c r="G39" s="361"/>
      <c r="H39" s="193"/>
      <c r="I39" s="193"/>
      <c r="J39" s="339"/>
      <c r="K39" s="1332" t="s">
        <v>231</v>
      </c>
      <c r="L39" s="1336"/>
      <c r="M39" s="1336"/>
      <c r="N39" s="1356"/>
      <c r="O39" s="123"/>
      <c r="P39" s="1367"/>
      <c r="Q39" s="119"/>
      <c r="R39" s="119"/>
      <c r="S39" s="1361"/>
    </row>
    <row r="40" spans="1:24" s="10" customFormat="1" x14ac:dyDescent="0.2">
      <c r="A40" s="552">
        <f t="shared" si="0"/>
        <v>32</v>
      </c>
      <c r="B40" s="1338" t="s">
        <v>206</v>
      </c>
      <c r="C40" s="1332"/>
      <c r="D40" s="1332"/>
      <c r="E40" s="361"/>
      <c r="F40" s="1332"/>
      <c r="G40" s="361"/>
      <c r="H40" s="193"/>
      <c r="I40" s="193"/>
      <c r="J40" s="339"/>
      <c r="K40" s="1343" t="s">
        <v>232</v>
      </c>
      <c r="L40" s="1336"/>
      <c r="M40" s="1350"/>
      <c r="N40" s="1363"/>
      <c r="O40" s="123"/>
      <c r="P40" s="1367"/>
      <c r="Q40" s="119"/>
      <c r="R40" s="119"/>
      <c r="S40" s="1361"/>
    </row>
    <row r="41" spans="1:24" s="10" customFormat="1" ht="21.75" x14ac:dyDescent="0.2">
      <c r="A41" s="1339">
        <f t="shared" si="0"/>
        <v>33</v>
      </c>
      <c r="B41" s="1340" t="s">
        <v>1225</v>
      </c>
      <c r="C41" s="1341">
        <f>'pü.mérleg Önkorm.'!C41</f>
        <v>634227</v>
      </c>
      <c r="D41" s="1341">
        <f>'pü.mérleg Önkorm.'!D41</f>
        <v>0</v>
      </c>
      <c r="E41" s="1357">
        <f>'pü.mérleg Önkorm.'!E41</f>
        <v>634227</v>
      </c>
      <c r="F41" s="1341"/>
      <c r="G41" s="1357"/>
      <c r="H41" s="193">
        <f t="shared" si="4"/>
        <v>634227</v>
      </c>
      <c r="I41" s="193">
        <f t="shared" si="5"/>
        <v>0</v>
      </c>
      <c r="J41" s="339">
        <f t="shared" si="6"/>
        <v>634227</v>
      </c>
      <c r="K41" s="199" t="s">
        <v>959</v>
      </c>
      <c r="L41" s="1336"/>
      <c r="M41" s="1336"/>
      <c r="N41" s="1356"/>
      <c r="O41" s="123"/>
      <c r="P41" s="1367"/>
      <c r="Q41" s="119"/>
      <c r="R41" s="119"/>
      <c r="S41" s="1361"/>
    </row>
    <row r="42" spans="1:24" x14ac:dyDescent="0.2">
      <c r="A42" s="552">
        <f t="shared" si="0"/>
        <v>34</v>
      </c>
      <c r="B42" s="92" t="s">
        <v>207</v>
      </c>
      <c r="C42" s="1342"/>
      <c r="D42" s="1343">
        <f>'pü.mérleg Önkorm.'!D42</f>
        <v>0</v>
      </c>
      <c r="E42" s="1358">
        <f>SUM(C42:D42)</f>
        <v>0</v>
      </c>
      <c r="F42" s="1343"/>
      <c r="G42" s="1358"/>
      <c r="H42" s="193"/>
      <c r="I42" s="193"/>
      <c r="J42" s="339"/>
      <c r="K42" s="193" t="s">
        <v>233</v>
      </c>
      <c r="L42" s="1336"/>
      <c r="M42" s="1336"/>
      <c r="N42" s="1356"/>
      <c r="O42" s="1330"/>
      <c r="P42" s="1365"/>
      <c r="Q42" s="119"/>
      <c r="R42" s="119"/>
      <c r="S42" s="1361"/>
      <c r="T42" s="9"/>
      <c r="U42" s="9"/>
      <c r="V42" s="9"/>
      <c r="W42" s="9"/>
      <c r="X42" s="9"/>
    </row>
    <row r="43" spans="1:24" x14ac:dyDescent="0.2">
      <c r="A43" s="552">
        <f t="shared" si="0"/>
        <v>35</v>
      </c>
      <c r="B43" s="92" t="s">
        <v>208</v>
      </c>
      <c r="C43" s="193"/>
      <c r="D43" s="193"/>
      <c r="E43" s="339"/>
      <c r="F43" s="193"/>
      <c r="G43" s="339"/>
      <c r="H43" s="193"/>
      <c r="I43" s="193"/>
      <c r="J43" s="339"/>
      <c r="K43" s="193" t="s">
        <v>234</v>
      </c>
      <c r="L43" s="1336"/>
      <c r="M43" s="1336"/>
      <c r="N43" s="1356"/>
      <c r="O43" s="1330"/>
      <c r="P43" s="1365"/>
      <c r="Q43" s="119"/>
      <c r="R43" s="119"/>
      <c r="S43" s="1361"/>
      <c r="T43" s="9"/>
      <c r="U43" s="9"/>
      <c r="V43" s="9"/>
      <c r="W43" s="9"/>
      <c r="X43" s="9"/>
    </row>
    <row r="44" spans="1:24" ht="22.5" x14ac:dyDescent="0.2">
      <c r="A44" s="552">
        <f t="shared" si="0"/>
        <v>36</v>
      </c>
      <c r="B44" s="1734" t="s">
        <v>935</v>
      </c>
      <c r="C44" s="200">
        <f>'pü.mérleg Önkorm.'!C44+'pü.mérleg Hivatal'!D43+'püm. GAMESZ. '!C43+püm.Brunszvik!C43+'püm-TASZII.'!C43+'püm Festetics'!C43</f>
        <v>336807</v>
      </c>
      <c r="D44" s="200">
        <f>'pü.mérleg Önkorm.'!D44+'pü.mérleg Hivatal'!E43+'püm. GAMESZ. '!D43+püm.Brunszvik!D43+'püm-TASZII.'!D43+'püm Festetics'!D43</f>
        <v>295138</v>
      </c>
      <c r="E44" s="1361">
        <f>'pü.mérleg Önkorm.'!E44+'pü.mérleg Hivatal'!F43+'püm. GAMESZ. '!E43+püm.Brunszvik!E43+'püm-TASZII.'!E43+'püm Festetics'!E43</f>
        <v>631945</v>
      </c>
      <c r="F44" s="200">
        <v>192119</v>
      </c>
      <c r="G44" s="1361">
        <v>69006</v>
      </c>
      <c r="H44" s="193">
        <f t="shared" si="4"/>
        <v>528926</v>
      </c>
      <c r="I44" s="193">
        <f t="shared" si="5"/>
        <v>364144</v>
      </c>
      <c r="J44" s="339">
        <f t="shared" si="6"/>
        <v>893070</v>
      </c>
      <c r="K44" s="193" t="s">
        <v>235</v>
      </c>
      <c r="L44" s="1336"/>
      <c r="M44" s="1336"/>
      <c r="N44" s="1356"/>
      <c r="O44" s="1330"/>
      <c r="P44" s="1365"/>
      <c r="Q44" s="119"/>
      <c r="R44" s="119"/>
      <c r="S44" s="1361"/>
      <c r="T44" s="9"/>
      <c r="U44" s="9"/>
      <c r="V44" s="9"/>
      <c r="W44" s="9"/>
      <c r="X44" s="9"/>
    </row>
    <row r="45" spans="1:24" x14ac:dyDescent="0.2">
      <c r="A45" s="552">
        <f t="shared" si="0"/>
        <v>37</v>
      </c>
      <c r="B45" s="1344" t="s">
        <v>961</v>
      </c>
      <c r="C45" s="193">
        <f>'püm Festetics'!C44</f>
        <v>0</v>
      </c>
      <c r="D45" s="193">
        <f>'püm Festetics'!D44</f>
        <v>0</v>
      </c>
      <c r="E45" s="339">
        <f>'püm Festetics'!E44</f>
        <v>0</v>
      </c>
      <c r="F45" s="193"/>
      <c r="G45" s="339"/>
      <c r="H45" s="193">
        <f t="shared" si="4"/>
        <v>0</v>
      </c>
      <c r="I45" s="193">
        <f t="shared" si="5"/>
        <v>0</v>
      </c>
      <c r="J45" s="339">
        <f t="shared" si="6"/>
        <v>0</v>
      </c>
      <c r="K45" s="193"/>
      <c r="L45" s="1336"/>
      <c r="M45" s="1336"/>
      <c r="N45" s="1356"/>
      <c r="O45" s="1330"/>
      <c r="P45" s="1365"/>
      <c r="Q45" s="119"/>
      <c r="R45" s="119"/>
      <c r="S45" s="1361"/>
      <c r="T45" s="9"/>
      <c r="U45" s="9"/>
      <c r="V45" s="9"/>
      <c r="W45" s="9"/>
      <c r="X45" s="9"/>
    </row>
    <row r="46" spans="1:24" x14ac:dyDescent="0.2">
      <c r="A46" s="552">
        <f t="shared" si="0"/>
        <v>38</v>
      </c>
      <c r="B46" s="92" t="s">
        <v>210</v>
      </c>
      <c r="C46" s="193">
        <f>'pü.mérleg Önkorm.'!C46</f>
        <v>927</v>
      </c>
      <c r="D46" s="193">
        <f>'pü.mérleg Önkorm.'!D46</f>
        <v>0</v>
      </c>
      <c r="E46" s="339">
        <f>'pü.mérleg Önkorm.'!E46</f>
        <v>927</v>
      </c>
      <c r="F46" s="193">
        <v>579</v>
      </c>
      <c r="G46" s="339"/>
      <c r="H46" s="193">
        <f t="shared" si="4"/>
        <v>1506</v>
      </c>
      <c r="I46" s="193">
        <f t="shared" si="5"/>
        <v>0</v>
      </c>
      <c r="J46" s="339">
        <f t="shared" si="6"/>
        <v>1506</v>
      </c>
      <c r="K46" s="193" t="s">
        <v>236</v>
      </c>
      <c r="L46" s="1336"/>
      <c r="M46" s="1336"/>
      <c r="N46" s="1361"/>
      <c r="O46" s="1330"/>
      <c r="P46" s="1365"/>
      <c r="Q46" s="119"/>
      <c r="R46" s="119"/>
      <c r="S46" s="1361"/>
      <c r="T46" s="9"/>
      <c r="U46" s="9"/>
      <c r="V46" s="9"/>
      <c r="W46" s="9"/>
      <c r="X46" s="9"/>
    </row>
    <row r="47" spans="1:24" x14ac:dyDescent="0.2">
      <c r="A47" s="552">
        <f t="shared" si="0"/>
        <v>39</v>
      </c>
      <c r="B47" s="92" t="s">
        <v>211</v>
      </c>
      <c r="C47" s="1332"/>
      <c r="D47" s="1332"/>
      <c r="E47" s="361"/>
      <c r="F47" s="1332"/>
      <c r="G47" s="361"/>
      <c r="H47" s="193"/>
      <c r="I47" s="193"/>
      <c r="J47" s="339"/>
      <c r="K47" s="1346" t="s">
        <v>237</v>
      </c>
      <c r="L47" s="200">
        <f>'pü.mérleg Önkorm.'!L47</f>
        <v>30797</v>
      </c>
      <c r="M47" s="200">
        <f>'pü.mérleg Önkorm.'!M47</f>
        <v>4260</v>
      </c>
      <c r="N47" s="1361">
        <f>'pü.mérleg Önkorm.'!N47</f>
        <v>35057</v>
      </c>
      <c r="O47" s="1330">
        <v>579</v>
      </c>
      <c r="P47" s="1365"/>
      <c r="Q47" s="119">
        <f t="shared" si="1"/>
        <v>31376</v>
      </c>
      <c r="R47" s="119">
        <f t="shared" si="2"/>
        <v>4260</v>
      </c>
      <c r="S47" s="1361">
        <f t="shared" si="3"/>
        <v>35636</v>
      </c>
      <c r="T47" s="9"/>
      <c r="U47" s="9"/>
      <c r="V47" s="9"/>
      <c r="W47" s="9"/>
      <c r="X47" s="9"/>
    </row>
    <row r="48" spans="1:24" x14ac:dyDescent="0.2">
      <c r="A48" s="552">
        <f t="shared" si="0"/>
        <v>40</v>
      </c>
      <c r="B48" s="92" t="s">
        <v>212</v>
      </c>
      <c r="C48" s="193"/>
      <c r="D48" s="193"/>
      <c r="E48" s="339"/>
      <c r="F48" s="193"/>
      <c r="G48" s="339"/>
      <c r="H48" s="193"/>
      <c r="I48" s="193"/>
      <c r="J48" s="339"/>
      <c r="K48" s="193" t="s">
        <v>238</v>
      </c>
      <c r="L48" s="200"/>
      <c r="M48" s="200"/>
      <c r="N48" s="1361"/>
      <c r="O48" s="1330"/>
      <c r="P48" s="1365"/>
      <c r="Q48" s="119"/>
      <c r="R48" s="119"/>
      <c r="S48" s="1361"/>
      <c r="T48" s="9"/>
      <c r="U48" s="9"/>
      <c r="V48" s="9"/>
      <c r="W48" s="9"/>
      <c r="X48" s="9"/>
    </row>
    <row r="49" spans="1:24" x14ac:dyDescent="0.2">
      <c r="A49" s="552">
        <f t="shared" si="0"/>
        <v>41</v>
      </c>
      <c r="B49" s="1345" t="s">
        <v>213</v>
      </c>
      <c r="C49" s="193"/>
      <c r="D49" s="193"/>
      <c r="E49" s="339"/>
      <c r="F49" s="193"/>
      <c r="G49" s="339"/>
      <c r="H49" s="193"/>
      <c r="I49" s="193"/>
      <c r="J49" s="339"/>
      <c r="K49" s="193" t="s">
        <v>239</v>
      </c>
      <c r="L49" s="200"/>
      <c r="M49" s="200"/>
      <c r="N49" s="1361"/>
      <c r="O49" s="1330"/>
      <c r="P49" s="1365"/>
      <c r="Q49" s="119"/>
      <c r="R49" s="119"/>
      <c r="S49" s="1361"/>
      <c r="T49" s="9"/>
      <c r="U49" s="9"/>
      <c r="V49" s="9"/>
      <c r="W49" s="9"/>
      <c r="X49" s="9"/>
    </row>
    <row r="50" spans="1:24" x14ac:dyDescent="0.2">
      <c r="A50" s="552">
        <f t="shared" si="0"/>
        <v>42</v>
      </c>
      <c r="B50" s="1345" t="s">
        <v>214</v>
      </c>
      <c r="C50" s="193"/>
      <c r="D50" s="193"/>
      <c r="E50" s="339"/>
      <c r="F50" s="193"/>
      <c r="G50" s="339"/>
      <c r="H50" s="193"/>
      <c r="I50" s="193"/>
      <c r="J50" s="339"/>
      <c r="K50" s="193" t="s">
        <v>240</v>
      </c>
      <c r="L50" s="200"/>
      <c r="M50" s="200"/>
      <c r="N50" s="1361"/>
      <c r="O50" s="1330"/>
      <c r="P50" s="1365"/>
      <c r="Q50" s="119"/>
      <c r="R50" s="119"/>
      <c r="S50" s="1361"/>
      <c r="T50" s="9"/>
      <c r="U50" s="9"/>
      <c r="V50" s="9"/>
      <c r="W50" s="9"/>
      <c r="X50" s="9"/>
    </row>
    <row r="51" spans="1:24" x14ac:dyDescent="0.2">
      <c r="A51" s="552">
        <f t="shared" si="0"/>
        <v>43</v>
      </c>
      <c r="B51" s="92" t="s">
        <v>215</v>
      </c>
      <c r="C51" s="193">
        <f>'pü.mérleg Önkorm.'!C51</f>
        <v>0</v>
      </c>
      <c r="D51" s="193">
        <f>'pü.mérleg Önkorm.'!D51</f>
        <v>0</v>
      </c>
      <c r="E51" s="339">
        <f>SUM(C51:D51)</f>
        <v>0</v>
      </c>
      <c r="F51" s="193"/>
      <c r="G51" s="339"/>
      <c r="H51" s="193"/>
      <c r="I51" s="193"/>
      <c r="J51" s="339"/>
      <c r="K51" s="193" t="s">
        <v>241</v>
      </c>
      <c r="L51" s="200"/>
      <c r="M51" s="200"/>
      <c r="N51" s="1361"/>
      <c r="O51" s="1330"/>
      <c r="P51" s="1365"/>
      <c r="Q51" s="119"/>
      <c r="R51" s="119"/>
      <c r="S51" s="1361"/>
      <c r="T51" s="9"/>
      <c r="U51" s="9"/>
      <c r="V51" s="9"/>
      <c r="W51" s="9"/>
      <c r="X51" s="9"/>
    </row>
    <row r="52" spans="1:24" x14ac:dyDescent="0.2">
      <c r="A52" s="552">
        <f t="shared" si="0"/>
        <v>44</v>
      </c>
      <c r="B52" s="92"/>
      <c r="C52" s="193"/>
      <c r="D52" s="193"/>
      <c r="E52" s="339"/>
      <c r="F52" s="193"/>
      <c r="G52" s="339"/>
      <c r="H52" s="193"/>
      <c r="I52" s="193"/>
      <c r="J52" s="339"/>
      <c r="K52" s="193" t="s">
        <v>242</v>
      </c>
      <c r="L52" s="200"/>
      <c r="M52" s="200"/>
      <c r="N52" s="1361"/>
      <c r="O52" s="1330"/>
      <c r="P52" s="1365"/>
      <c r="Q52" s="119"/>
      <c r="R52" s="119"/>
      <c r="S52" s="1361"/>
      <c r="T52" s="9"/>
      <c r="U52" s="9"/>
      <c r="V52" s="9"/>
      <c r="W52" s="9"/>
      <c r="X52" s="9"/>
    </row>
    <row r="53" spans="1:24" x14ac:dyDescent="0.2">
      <c r="A53" s="552">
        <f t="shared" si="0"/>
        <v>45</v>
      </c>
      <c r="B53" s="92"/>
      <c r="C53" s="193"/>
      <c r="D53" s="193"/>
      <c r="E53" s="339"/>
      <c r="F53" s="193"/>
      <c r="G53" s="339"/>
      <c r="H53" s="193"/>
      <c r="I53" s="193"/>
      <c r="J53" s="339"/>
      <c r="K53" s="193" t="s">
        <v>243</v>
      </c>
      <c r="L53" s="200"/>
      <c r="M53" s="200"/>
      <c r="N53" s="1361"/>
      <c r="O53" s="1330"/>
      <c r="P53" s="1365"/>
      <c r="Q53" s="119"/>
      <c r="R53" s="119"/>
      <c r="S53" s="1361"/>
      <c r="T53" s="9"/>
      <c r="U53" s="9"/>
      <c r="V53" s="9"/>
      <c r="W53" s="9"/>
      <c r="X53" s="9"/>
    </row>
    <row r="54" spans="1:24" ht="12" thickBot="1" x14ac:dyDescent="0.25">
      <c r="A54" s="552">
        <f t="shared" si="0"/>
        <v>46</v>
      </c>
      <c r="B54" s="123" t="s">
        <v>449</v>
      </c>
      <c r="C54" s="1336">
        <f>SUM(C40:C52)</f>
        <v>971961</v>
      </c>
      <c r="D54" s="1336">
        <f>SUM(D40:D52)</f>
        <v>295138</v>
      </c>
      <c r="E54" s="1356">
        <f>SUM(E40:E52)</f>
        <v>1267099</v>
      </c>
      <c r="F54" s="1336">
        <f>SUM(F41:F53)</f>
        <v>192698</v>
      </c>
      <c r="G54" s="1356">
        <f>SUM(G41:G53)</f>
        <v>69006</v>
      </c>
      <c r="H54" s="1336">
        <f t="shared" si="4"/>
        <v>1164659</v>
      </c>
      <c r="I54" s="1336">
        <f t="shared" si="5"/>
        <v>364144</v>
      </c>
      <c r="J54" s="1356">
        <f t="shared" si="6"/>
        <v>1528803</v>
      </c>
      <c r="K54" s="1332" t="s">
        <v>442</v>
      </c>
      <c r="L54" s="1336">
        <f>SUM(L40:L53)</f>
        <v>30797</v>
      </c>
      <c r="M54" s="1336">
        <f>SUM(M40:M53)</f>
        <v>4260</v>
      </c>
      <c r="N54" s="1356">
        <f>SUM(N40:N53)</f>
        <v>35057</v>
      </c>
      <c r="O54" s="123">
        <f>SUM(O47:O53)</f>
        <v>579</v>
      </c>
      <c r="P54" s="1737">
        <f>SUM(P47:P53)</f>
        <v>0</v>
      </c>
      <c r="Q54" s="121">
        <f t="shared" si="1"/>
        <v>31376</v>
      </c>
      <c r="R54" s="121">
        <f t="shared" si="2"/>
        <v>4260</v>
      </c>
      <c r="S54" s="1356">
        <f t="shared" si="3"/>
        <v>35636</v>
      </c>
      <c r="T54" s="9"/>
      <c r="U54" s="9"/>
      <c r="V54" s="9"/>
      <c r="W54" s="9"/>
      <c r="X54" s="9"/>
    </row>
    <row r="55" spans="1:24" ht="12" thickBot="1" x14ac:dyDescent="0.25">
      <c r="A55" s="587">
        <f t="shared" si="0"/>
        <v>47</v>
      </c>
      <c r="B55" s="1370" t="s">
        <v>444</v>
      </c>
      <c r="C55" s="1371">
        <f>C35+C54</f>
        <v>2481483</v>
      </c>
      <c r="D55" s="682">
        <f>D35+D54</f>
        <v>1597722</v>
      </c>
      <c r="E55" s="1372">
        <f>E35+E54</f>
        <v>4079205</v>
      </c>
      <c r="F55" s="772">
        <f>F35+F54</f>
        <v>208364</v>
      </c>
      <c r="G55" s="1372">
        <f t="shared" ref="G55:J55" si="9">G35+G54</f>
        <v>87115</v>
      </c>
      <c r="H55" s="1373">
        <f t="shared" si="9"/>
        <v>2689847</v>
      </c>
      <c r="I55" s="772">
        <f t="shared" si="9"/>
        <v>1684837</v>
      </c>
      <c r="J55" s="772">
        <f t="shared" si="9"/>
        <v>4374684</v>
      </c>
      <c r="K55" s="1370" t="s">
        <v>443</v>
      </c>
      <c r="L55" s="1371">
        <f>L35+L54</f>
        <v>2481483</v>
      </c>
      <c r="M55" s="682">
        <f>M35+M54</f>
        <v>1597722</v>
      </c>
      <c r="N55" s="1373">
        <f>N35+N54</f>
        <v>4079205</v>
      </c>
      <c r="O55" s="1735">
        <f>O54+O35</f>
        <v>208364</v>
      </c>
      <c r="P55" s="1735">
        <f t="shared" ref="P55:S55" si="10">P54+P35</f>
        <v>87115</v>
      </c>
      <c r="Q55" s="1735">
        <f t="shared" si="10"/>
        <v>2689847</v>
      </c>
      <c r="R55" s="1735">
        <f t="shared" si="10"/>
        <v>1684837</v>
      </c>
      <c r="S55" s="1736">
        <f t="shared" si="10"/>
        <v>4374684</v>
      </c>
      <c r="T55" s="9"/>
      <c r="U55" s="9"/>
      <c r="V55" s="9"/>
      <c r="W55" s="9"/>
      <c r="X55" s="9"/>
    </row>
    <row r="56" spans="1:24" x14ac:dyDescent="0.2">
      <c r="B56" s="125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V56" s="199"/>
      <c r="W56" s="199"/>
      <c r="X56" s="9"/>
    </row>
    <row r="57" spans="1:24" s="10" customFormat="1" ht="12.75" x14ac:dyDescent="0.2">
      <c r="A57" s="125"/>
      <c r="B57" s="123"/>
      <c r="C57" s="124"/>
      <c r="D57" s="124"/>
      <c r="E57" s="326">
        <f>E55-N55</f>
        <v>0</v>
      </c>
      <c r="F57" s="326"/>
      <c r="G57" s="326"/>
      <c r="H57" s="326"/>
      <c r="I57" s="326"/>
      <c r="J57" s="326"/>
      <c r="K57" s="124"/>
      <c r="L57" s="124"/>
      <c r="M57" s="124"/>
      <c r="N57" s="124"/>
      <c r="O57" s="125"/>
      <c r="P57" s="125"/>
      <c r="Q57" s="125"/>
      <c r="R57" s="125"/>
      <c r="S57" s="125"/>
      <c r="T57" s="125"/>
      <c r="U57" s="125"/>
      <c r="V57" s="123"/>
      <c r="W57" s="125"/>
      <c r="X57" s="125"/>
    </row>
  </sheetData>
  <sheetProtection selectLockedCells="1" selectUnlockedCells="1"/>
  <mergeCells count="15">
    <mergeCell ref="A1:S1"/>
    <mergeCell ref="A6:A8"/>
    <mergeCell ref="B6:B7"/>
    <mergeCell ref="K6:K7"/>
    <mergeCell ref="F7:G7"/>
    <mergeCell ref="H7:J7"/>
    <mergeCell ref="B3:S3"/>
    <mergeCell ref="B4:S4"/>
    <mergeCell ref="B5:S5"/>
    <mergeCell ref="O7:P7"/>
    <mergeCell ref="Q7:S7"/>
    <mergeCell ref="L6:S6"/>
    <mergeCell ref="C6:J6"/>
    <mergeCell ref="C7:E7"/>
    <mergeCell ref="L7:N7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79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K75"/>
  <sheetViews>
    <sheetView topLeftCell="B1" workbookViewId="0">
      <selection activeCell="G7" sqref="G7:K8"/>
    </sheetView>
  </sheetViews>
  <sheetFormatPr defaultColWidth="9.140625" defaultRowHeight="12" x14ac:dyDescent="0.2"/>
  <cols>
    <col min="1" max="1" width="3.7109375" style="109" hidden="1" customWidth="1"/>
    <col min="2" max="2" width="5.7109375" style="111" customWidth="1"/>
    <col min="3" max="3" width="53" style="108" customWidth="1"/>
    <col min="4" max="4" width="9" style="107" customWidth="1"/>
    <col min="5" max="5" width="9.140625" style="107"/>
    <col min="6" max="6" width="9.7109375" style="107" customWidth="1"/>
    <col min="7" max="16384" width="9.140625" style="12"/>
  </cols>
  <sheetData>
    <row r="1" spans="1:11" x14ac:dyDescent="0.2">
      <c r="B1" s="1488" t="s">
        <v>1326</v>
      </c>
      <c r="C1" s="1488"/>
      <c r="D1" s="1488"/>
      <c r="E1" s="1488"/>
      <c r="F1" s="1488"/>
    </row>
    <row r="2" spans="1:11" x14ac:dyDescent="0.2">
      <c r="B2" s="201"/>
      <c r="C2" s="201"/>
      <c r="D2" s="201"/>
      <c r="E2" s="201"/>
      <c r="F2" s="201"/>
    </row>
    <row r="3" spans="1:11" ht="13.5" customHeight="1" x14ac:dyDescent="0.2">
      <c r="B3" s="1496" t="s">
        <v>1137</v>
      </c>
      <c r="C3" s="1496"/>
      <c r="D3" s="1496"/>
      <c r="E3" s="1496"/>
      <c r="F3" s="1496"/>
    </row>
    <row r="4" spans="1:11" x14ac:dyDescent="0.2">
      <c r="B4" s="1497" t="s">
        <v>1171</v>
      </c>
      <c r="C4" s="1497"/>
      <c r="D4" s="1497"/>
      <c r="E4" s="1498"/>
      <c r="F4" s="1498"/>
    </row>
    <row r="5" spans="1:11" x14ac:dyDescent="0.2">
      <c r="B5" s="106"/>
      <c r="C5" s="106"/>
      <c r="D5" s="106"/>
      <c r="E5" s="202"/>
      <c r="F5" s="202"/>
    </row>
    <row r="6" spans="1:11" ht="12.75" x14ac:dyDescent="0.2">
      <c r="B6" s="106"/>
      <c r="C6" s="1489" t="s">
        <v>303</v>
      </c>
      <c r="D6" s="1490"/>
      <c r="E6" s="1490"/>
      <c r="F6" s="1490"/>
    </row>
    <row r="7" spans="1:11" ht="19.149999999999999" customHeight="1" x14ac:dyDescent="0.2">
      <c r="B7" s="1491" t="s">
        <v>76</v>
      </c>
      <c r="C7" s="1493" t="s">
        <v>85</v>
      </c>
      <c r="D7" s="1495" t="s">
        <v>1162</v>
      </c>
      <c r="E7" s="1495"/>
      <c r="F7" s="1495"/>
      <c r="G7" s="1413" t="s">
        <v>1337</v>
      </c>
      <c r="H7" s="1413"/>
      <c r="I7" s="1413" t="s">
        <v>1338</v>
      </c>
      <c r="J7" s="1413"/>
      <c r="K7" s="1413"/>
    </row>
    <row r="8" spans="1:11" s="7" customFormat="1" ht="42.75" customHeight="1" x14ac:dyDescent="0.2">
      <c r="A8" s="110"/>
      <c r="B8" s="1492"/>
      <c r="C8" s="1494"/>
      <c r="D8" s="922" t="s">
        <v>62</v>
      </c>
      <c r="E8" s="922" t="s">
        <v>63</v>
      </c>
      <c r="F8" s="922" t="s">
        <v>64</v>
      </c>
      <c r="G8" s="740" t="s">
        <v>62</v>
      </c>
      <c r="H8" s="740" t="s">
        <v>63</v>
      </c>
      <c r="I8" s="740" t="s">
        <v>62</v>
      </c>
      <c r="J8" s="740" t="s">
        <v>63</v>
      </c>
      <c r="K8" s="740" t="s">
        <v>64</v>
      </c>
    </row>
    <row r="9" spans="1:11" ht="14.25" customHeight="1" x14ac:dyDescent="0.2">
      <c r="B9" s="923" t="s">
        <v>480</v>
      </c>
      <c r="C9" s="924" t="s">
        <v>86</v>
      </c>
      <c r="D9" s="925"/>
      <c r="E9" s="926"/>
      <c r="F9" s="926"/>
      <c r="G9" s="927"/>
      <c r="H9" s="927"/>
      <c r="I9" s="927"/>
      <c r="J9" s="927"/>
      <c r="K9" s="927"/>
    </row>
    <row r="10" spans="1:11" ht="28.9" customHeight="1" x14ac:dyDescent="0.2">
      <c r="B10" s="928" t="s">
        <v>488</v>
      </c>
      <c r="C10" s="929" t="s">
        <v>455</v>
      </c>
      <c r="D10" s="930"/>
      <c r="E10" s="930"/>
      <c r="F10" s="930"/>
      <c r="G10" s="927"/>
      <c r="H10" s="927"/>
      <c r="I10" s="927"/>
      <c r="J10" s="927"/>
      <c r="K10" s="927"/>
    </row>
    <row r="11" spans="1:11" x14ac:dyDescent="0.2">
      <c r="B11" s="923" t="s">
        <v>489</v>
      </c>
      <c r="C11" s="931" t="s">
        <v>436</v>
      </c>
      <c r="D11" s="926"/>
      <c r="E11" s="926"/>
      <c r="F11" s="926"/>
      <c r="G11" s="927"/>
      <c r="H11" s="927"/>
      <c r="I11" s="927"/>
      <c r="J11" s="927"/>
      <c r="K11" s="927"/>
    </row>
    <row r="12" spans="1:11" x14ac:dyDescent="0.2">
      <c r="B12" s="923" t="s">
        <v>490</v>
      </c>
      <c r="C12" s="931" t="s">
        <v>1229</v>
      </c>
      <c r="D12" s="926"/>
      <c r="E12" s="926">
        <v>15500</v>
      </c>
      <c r="F12" s="926">
        <f t="shared" ref="F12:F20" si="0">SUM(D12:E12)</f>
        <v>15500</v>
      </c>
      <c r="G12" s="927"/>
      <c r="H12" s="927"/>
      <c r="I12" s="927"/>
      <c r="J12" s="927"/>
      <c r="K12" s="927"/>
    </row>
    <row r="13" spans="1:11" x14ac:dyDescent="0.2">
      <c r="B13" s="923" t="s">
        <v>491</v>
      </c>
      <c r="C13" s="931" t="s">
        <v>1230</v>
      </c>
      <c r="D13" s="926"/>
      <c r="E13" s="926">
        <v>20500</v>
      </c>
      <c r="F13" s="926">
        <f t="shared" si="0"/>
        <v>20500</v>
      </c>
      <c r="G13" s="927"/>
      <c r="H13" s="927"/>
      <c r="I13" s="927"/>
      <c r="J13" s="927"/>
      <c r="K13" s="927"/>
    </row>
    <row r="14" spans="1:11" x14ac:dyDescent="0.2">
      <c r="B14" s="923" t="s">
        <v>492</v>
      </c>
      <c r="C14" s="931" t="s">
        <v>1228</v>
      </c>
      <c r="D14" s="926"/>
      <c r="E14" s="926">
        <v>12692</v>
      </c>
      <c r="F14" s="926">
        <f t="shared" si="0"/>
        <v>12692</v>
      </c>
      <c r="G14" s="927"/>
      <c r="H14" s="927"/>
      <c r="I14" s="927"/>
      <c r="J14" s="927"/>
      <c r="K14" s="927"/>
    </row>
    <row r="15" spans="1:11" x14ac:dyDescent="0.2">
      <c r="B15" s="923" t="s">
        <v>493</v>
      </c>
      <c r="C15" s="931" t="s">
        <v>437</v>
      </c>
      <c r="D15" s="926">
        <v>4500</v>
      </c>
      <c r="E15" s="926"/>
      <c r="F15" s="926">
        <f t="shared" si="0"/>
        <v>4500</v>
      </c>
      <c r="G15" s="927"/>
      <c r="H15" s="927"/>
      <c r="I15" s="927"/>
      <c r="J15" s="927"/>
      <c r="K15" s="927"/>
    </row>
    <row r="16" spans="1:11" x14ac:dyDescent="0.2">
      <c r="B16" s="923" t="s">
        <v>494</v>
      </c>
      <c r="C16" s="932" t="s">
        <v>438</v>
      </c>
      <c r="D16" s="926"/>
      <c r="E16" s="926">
        <v>2000</v>
      </c>
      <c r="F16" s="926">
        <f t="shared" si="0"/>
        <v>2000</v>
      </c>
      <c r="G16" s="927"/>
      <c r="H16" s="927"/>
      <c r="I16" s="927"/>
      <c r="J16" s="927"/>
      <c r="K16" s="927"/>
    </row>
    <row r="17" spans="1:11" ht="13.5" customHeight="1" x14ac:dyDescent="0.2">
      <c r="B17" s="923" t="s">
        <v>495</v>
      </c>
      <c r="C17" s="932" t="s">
        <v>468</v>
      </c>
      <c r="D17" s="926">
        <v>1350</v>
      </c>
      <c r="E17" s="926"/>
      <c r="F17" s="926">
        <f t="shared" si="0"/>
        <v>1350</v>
      </c>
      <c r="G17" s="927"/>
      <c r="H17" s="927"/>
      <c r="I17" s="927"/>
      <c r="J17" s="927"/>
      <c r="K17" s="927"/>
    </row>
    <row r="18" spans="1:11" ht="13.5" customHeight="1" x14ac:dyDescent="0.2">
      <c r="B18" s="923" t="s">
        <v>531</v>
      </c>
      <c r="C18" s="933" t="s">
        <v>308</v>
      </c>
      <c r="D18" s="934"/>
      <c r="E18" s="934">
        <v>50</v>
      </c>
      <c r="F18" s="934">
        <f t="shared" si="0"/>
        <v>50</v>
      </c>
      <c r="G18" s="927"/>
      <c r="H18" s="927"/>
      <c r="I18" s="927"/>
      <c r="J18" s="927"/>
      <c r="K18" s="927"/>
    </row>
    <row r="19" spans="1:11" ht="13.5" customHeight="1" x14ac:dyDescent="0.2">
      <c r="B19" s="923" t="s">
        <v>532</v>
      </c>
      <c r="C19" s="933" t="s">
        <v>1058</v>
      </c>
      <c r="D19" s="934"/>
      <c r="E19" s="934">
        <v>2802</v>
      </c>
      <c r="F19" s="934">
        <f t="shared" si="0"/>
        <v>2802</v>
      </c>
      <c r="G19" s="927"/>
      <c r="H19" s="927"/>
      <c r="I19" s="927"/>
      <c r="J19" s="927"/>
      <c r="K19" s="927"/>
    </row>
    <row r="20" spans="1:11" ht="13.5" customHeight="1" x14ac:dyDescent="0.2">
      <c r="B20" s="923" t="s">
        <v>533</v>
      </c>
      <c r="C20" s="933" t="s">
        <v>1102</v>
      </c>
      <c r="D20" s="934"/>
      <c r="E20" s="934">
        <v>191</v>
      </c>
      <c r="F20" s="934">
        <f t="shared" si="0"/>
        <v>191</v>
      </c>
      <c r="G20" s="927"/>
      <c r="H20" s="927"/>
      <c r="I20" s="927"/>
      <c r="J20" s="927"/>
      <c r="K20" s="927"/>
    </row>
    <row r="21" spans="1:11" ht="13.5" customHeight="1" thickBot="1" x14ac:dyDescent="0.25">
      <c r="B21" s="948"/>
      <c r="C21" s="949"/>
      <c r="D21" s="950"/>
      <c r="E21" s="950"/>
      <c r="F21" s="950"/>
      <c r="G21" s="951"/>
      <c r="H21" s="951"/>
      <c r="I21" s="951"/>
      <c r="J21" s="951"/>
      <c r="K21" s="951"/>
    </row>
    <row r="22" spans="1:11" ht="15" customHeight="1" thickBot="1" x14ac:dyDescent="0.25">
      <c r="B22" s="956" t="s">
        <v>534</v>
      </c>
      <c r="C22" s="957" t="s">
        <v>456</v>
      </c>
      <c r="D22" s="582">
        <f>SUM(D12:D20)</f>
        <v>5850</v>
      </c>
      <c r="E22" s="582">
        <f>SUM(E12:E20)</f>
        <v>53735</v>
      </c>
      <c r="F22" s="582">
        <f>SUM(F12:F20)</f>
        <v>59585</v>
      </c>
      <c r="G22" s="958"/>
      <c r="H22" s="958"/>
      <c r="I22" s="958"/>
      <c r="J22" s="958"/>
      <c r="K22" s="959"/>
    </row>
    <row r="23" spans="1:11" ht="15" customHeight="1" x14ac:dyDescent="0.2">
      <c r="B23" s="952" t="s">
        <v>535</v>
      </c>
      <c r="C23" s="953"/>
      <c r="D23" s="954"/>
      <c r="E23" s="954"/>
      <c r="F23" s="954"/>
      <c r="G23" s="955"/>
      <c r="H23" s="955"/>
      <c r="I23" s="955"/>
      <c r="J23" s="955"/>
      <c r="K23" s="955"/>
    </row>
    <row r="24" spans="1:11" x14ac:dyDescent="0.2">
      <c r="B24" s="923" t="s">
        <v>536</v>
      </c>
      <c r="C24" s="935" t="s">
        <v>457</v>
      </c>
      <c r="D24" s="926"/>
      <c r="E24" s="926"/>
      <c r="F24" s="926"/>
      <c r="G24" s="927"/>
      <c r="H24" s="927"/>
      <c r="I24" s="927"/>
      <c r="J24" s="927"/>
      <c r="K24" s="927"/>
    </row>
    <row r="25" spans="1:11" s="7" customFormat="1" ht="15.6" customHeight="1" x14ac:dyDescent="0.2">
      <c r="A25" s="110"/>
      <c r="B25" s="923" t="s">
        <v>537</v>
      </c>
      <c r="C25" s="932" t="s">
        <v>469</v>
      </c>
      <c r="D25" s="926">
        <v>103258</v>
      </c>
      <c r="E25" s="926"/>
      <c r="F25" s="926">
        <f>D25</f>
        <v>103258</v>
      </c>
      <c r="G25" s="850"/>
      <c r="H25" s="850"/>
      <c r="I25" s="850"/>
      <c r="J25" s="850"/>
      <c r="K25" s="850"/>
    </row>
    <row r="26" spans="1:11" s="7" customFormat="1" ht="12" customHeight="1" x14ac:dyDescent="0.2">
      <c r="A26" s="110"/>
      <c r="B26" s="923" t="s">
        <v>538</v>
      </c>
      <c r="C26" s="932" t="s">
        <v>312</v>
      </c>
      <c r="D26" s="926">
        <v>13500</v>
      </c>
      <c r="E26" s="926"/>
      <c r="F26" s="926">
        <f t="shared" ref="F26:F31" si="1">SUM(D26:E26)</f>
        <v>13500</v>
      </c>
      <c r="G26" s="850"/>
      <c r="H26" s="850"/>
      <c r="I26" s="850"/>
      <c r="J26" s="850"/>
      <c r="K26" s="850"/>
    </row>
    <row r="27" spans="1:11" s="7" customFormat="1" ht="12" customHeight="1" x14ac:dyDescent="0.2">
      <c r="A27" s="110"/>
      <c r="B27" s="923" t="s">
        <v>540</v>
      </c>
      <c r="C27" s="932" t="s">
        <v>972</v>
      </c>
      <c r="D27" s="926"/>
      <c r="E27" s="926"/>
      <c r="F27" s="926">
        <f t="shared" si="1"/>
        <v>0</v>
      </c>
      <c r="G27" s="850"/>
      <c r="H27" s="850"/>
      <c r="I27" s="850"/>
      <c r="J27" s="850"/>
      <c r="K27" s="850"/>
    </row>
    <row r="28" spans="1:11" s="7" customFormat="1" x14ac:dyDescent="0.2">
      <c r="A28" s="110"/>
      <c r="B28" s="923" t="s">
        <v>541</v>
      </c>
      <c r="C28" s="931" t="s">
        <v>1069</v>
      </c>
      <c r="D28" s="926"/>
      <c r="E28" s="926">
        <v>19500</v>
      </c>
      <c r="F28" s="926">
        <f t="shared" si="1"/>
        <v>19500</v>
      </c>
      <c r="G28" s="850"/>
      <c r="H28" s="850"/>
      <c r="I28" s="850"/>
      <c r="J28" s="850"/>
      <c r="K28" s="850"/>
    </row>
    <row r="29" spans="1:11" s="7" customFormat="1" x14ac:dyDescent="0.2">
      <c r="A29" s="110"/>
      <c r="B29" s="923" t="s">
        <v>542</v>
      </c>
      <c r="C29" s="931" t="s">
        <v>310</v>
      </c>
      <c r="D29" s="926"/>
      <c r="E29" s="926">
        <v>65000</v>
      </c>
      <c r="F29" s="926">
        <f t="shared" si="1"/>
        <v>65000</v>
      </c>
      <c r="G29" s="850"/>
      <c r="H29" s="850"/>
      <c r="I29" s="850"/>
      <c r="J29" s="850"/>
      <c r="K29" s="850"/>
    </row>
    <row r="30" spans="1:11" s="7" customFormat="1" x14ac:dyDescent="0.2">
      <c r="A30" s="110"/>
      <c r="B30" s="923" t="s">
        <v>543</v>
      </c>
      <c r="C30" s="931" t="s">
        <v>1065</v>
      </c>
      <c r="D30" s="926"/>
      <c r="E30" s="926">
        <v>5000</v>
      </c>
      <c r="F30" s="926">
        <f t="shared" si="1"/>
        <v>5000</v>
      </c>
      <c r="G30" s="850"/>
      <c r="H30" s="850"/>
      <c r="I30" s="850"/>
      <c r="J30" s="850"/>
      <c r="K30" s="850"/>
    </row>
    <row r="31" spans="1:11" s="7" customFormat="1" x14ac:dyDescent="0.2">
      <c r="A31" s="110"/>
      <c r="B31" s="923" t="s">
        <v>544</v>
      </c>
      <c r="C31" s="931" t="s">
        <v>1269</v>
      </c>
      <c r="D31" s="926"/>
      <c r="E31" s="926">
        <v>50000</v>
      </c>
      <c r="F31" s="926">
        <f t="shared" si="1"/>
        <v>50000</v>
      </c>
      <c r="G31" s="850"/>
      <c r="H31" s="850"/>
      <c r="I31" s="850"/>
      <c r="J31" s="850"/>
      <c r="K31" s="850"/>
    </row>
    <row r="32" spans="1:11" s="7" customFormat="1" x14ac:dyDescent="0.2">
      <c r="A32" s="110"/>
      <c r="B32" s="923" t="s">
        <v>545</v>
      </c>
      <c r="C32" s="936" t="s">
        <v>181</v>
      </c>
      <c r="D32" s="930"/>
      <c r="E32" s="930">
        <v>2000</v>
      </c>
      <c r="F32" s="930">
        <f>D32+E32</f>
        <v>2000</v>
      </c>
      <c r="G32" s="850"/>
      <c r="H32" s="850"/>
      <c r="I32" s="850"/>
      <c r="J32" s="850"/>
      <c r="K32" s="850"/>
    </row>
    <row r="33" spans="1:11" s="7" customFormat="1" x14ac:dyDescent="0.2">
      <c r="A33" s="110"/>
      <c r="B33" s="923" t="s">
        <v>546</v>
      </c>
      <c r="C33" s="936" t="s">
        <v>311</v>
      </c>
      <c r="D33" s="930"/>
      <c r="E33" s="930">
        <v>3500</v>
      </c>
      <c r="F33" s="930">
        <f>D33+E33</f>
        <v>3500</v>
      </c>
      <c r="G33" s="850"/>
      <c r="H33" s="850"/>
      <c r="I33" s="850"/>
      <c r="J33" s="850"/>
      <c r="K33" s="850"/>
    </row>
    <row r="34" spans="1:11" s="7" customFormat="1" x14ac:dyDescent="0.2">
      <c r="A34" s="110"/>
      <c r="B34" s="923" t="s">
        <v>547</v>
      </c>
      <c r="C34" s="936" t="s">
        <v>313</v>
      </c>
      <c r="D34" s="930"/>
      <c r="E34" s="930">
        <v>500</v>
      </c>
      <c r="F34" s="930">
        <f>D34+E34</f>
        <v>500</v>
      </c>
      <c r="G34" s="850"/>
      <c r="H34" s="850"/>
      <c r="I34" s="850"/>
      <c r="J34" s="850"/>
      <c r="K34" s="850"/>
    </row>
    <row r="35" spans="1:11" s="7" customFormat="1" x14ac:dyDescent="0.2">
      <c r="A35" s="110"/>
      <c r="B35" s="923" t="s">
        <v>567</v>
      </c>
      <c r="C35" s="931" t="s">
        <v>314</v>
      </c>
      <c r="D35" s="930"/>
      <c r="E35" s="930">
        <v>500</v>
      </c>
      <c r="F35" s="930">
        <f>E35</f>
        <v>500</v>
      </c>
      <c r="G35" s="850"/>
      <c r="H35" s="850"/>
      <c r="I35" s="850"/>
      <c r="J35" s="850"/>
      <c r="K35" s="850"/>
    </row>
    <row r="36" spans="1:11" s="7" customFormat="1" x14ac:dyDescent="0.2">
      <c r="A36" s="110"/>
      <c r="B36" s="923" t="s">
        <v>568</v>
      </c>
      <c r="C36" s="931" t="s">
        <v>1322</v>
      </c>
      <c r="D36" s="930"/>
      <c r="E36" s="930">
        <v>1000</v>
      </c>
      <c r="F36" s="930">
        <f>SUM(D36:E36)</f>
        <v>1000</v>
      </c>
      <c r="G36" s="937"/>
      <c r="H36" s="850"/>
      <c r="I36" s="850"/>
      <c r="J36" s="850"/>
      <c r="K36" s="850"/>
    </row>
    <row r="37" spans="1:11" s="7" customFormat="1" x14ac:dyDescent="0.2">
      <c r="A37" s="110"/>
      <c r="B37" s="923" t="s">
        <v>569</v>
      </c>
      <c r="C37" s="931" t="s">
        <v>170</v>
      </c>
      <c r="D37" s="930"/>
      <c r="E37" s="930">
        <v>300</v>
      </c>
      <c r="F37" s="930">
        <f t="shared" ref="F37:F57" si="2">D37+E37</f>
        <v>300</v>
      </c>
      <c r="G37" s="850"/>
      <c r="H37" s="850"/>
      <c r="I37" s="850"/>
      <c r="J37" s="850"/>
      <c r="K37" s="850"/>
    </row>
    <row r="38" spans="1:11" s="7" customFormat="1" x14ac:dyDescent="0.2">
      <c r="A38" s="110"/>
      <c r="B38" s="923" t="s">
        <v>570</v>
      </c>
      <c r="C38" s="931" t="s">
        <v>171</v>
      </c>
      <c r="D38" s="930"/>
      <c r="E38" s="930">
        <v>2000</v>
      </c>
      <c r="F38" s="930">
        <f t="shared" si="2"/>
        <v>2000</v>
      </c>
      <c r="G38" s="850"/>
      <c r="H38" s="850"/>
      <c r="I38" s="850"/>
      <c r="J38" s="850"/>
      <c r="K38" s="850"/>
    </row>
    <row r="39" spans="1:11" s="7" customFormat="1" x14ac:dyDescent="0.2">
      <c r="A39" s="110"/>
      <c r="B39" s="923" t="s">
        <v>571</v>
      </c>
      <c r="C39" s="931" t="s">
        <v>287</v>
      </c>
      <c r="D39" s="930"/>
      <c r="E39" s="930">
        <v>1000</v>
      </c>
      <c r="F39" s="930">
        <f t="shared" si="2"/>
        <v>1000</v>
      </c>
      <c r="G39" s="850"/>
      <c r="H39" s="850"/>
      <c r="I39" s="850"/>
      <c r="J39" s="850"/>
      <c r="K39" s="850"/>
    </row>
    <row r="40" spans="1:11" s="7" customFormat="1" x14ac:dyDescent="0.2">
      <c r="A40" s="110"/>
      <c r="B40" s="923" t="s">
        <v>572</v>
      </c>
      <c r="C40" s="931" t="s">
        <v>288</v>
      </c>
      <c r="D40" s="930"/>
      <c r="E40" s="930">
        <v>2000</v>
      </c>
      <c r="F40" s="930">
        <f t="shared" si="2"/>
        <v>2000</v>
      </c>
      <c r="G40" s="850"/>
      <c r="H40" s="850"/>
      <c r="I40" s="850"/>
      <c r="J40" s="850"/>
      <c r="K40" s="850"/>
    </row>
    <row r="41" spans="1:11" s="7" customFormat="1" x14ac:dyDescent="0.2">
      <c r="A41" s="110"/>
      <c r="B41" s="923" t="s">
        <v>573</v>
      </c>
      <c r="C41" s="931" t="s">
        <v>940</v>
      </c>
      <c r="D41" s="930"/>
      <c r="E41" s="938">
        <v>500</v>
      </c>
      <c r="F41" s="930">
        <v>500</v>
      </c>
      <c r="G41" s="850"/>
      <c r="H41" s="850"/>
      <c r="I41" s="850"/>
      <c r="J41" s="850"/>
      <c r="K41" s="850"/>
    </row>
    <row r="42" spans="1:11" s="7" customFormat="1" x14ac:dyDescent="0.2">
      <c r="A42" s="110"/>
      <c r="B42" s="923" t="s">
        <v>574</v>
      </c>
      <c r="C42" s="931" t="s">
        <v>941</v>
      </c>
      <c r="D42" s="930"/>
      <c r="E42" s="930">
        <v>300</v>
      </c>
      <c r="F42" s="930">
        <f t="shared" si="2"/>
        <v>300</v>
      </c>
      <c r="G42" s="850"/>
      <c r="H42" s="850"/>
      <c r="I42" s="850"/>
      <c r="J42" s="850"/>
      <c r="K42" s="850"/>
    </row>
    <row r="43" spans="1:11" s="7" customFormat="1" x14ac:dyDescent="0.2">
      <c r="A43" s="110"/>
      <c r="B43" s="923" t="s">
        <v>575</v>
      </c>
      <c r="C43" s="931" t="s">
        <v>969</v>
      </c>
      <c r="D43" s="930"/>
      <c r="E43" s="930">
        <v>50</v>
      </c>
      <c r="F43" s="930">
        <f t="shared" si="2"/>
        <v>50</v>
      </c>
      <c r="G43" s="850"/>
      <c r="H43" s="850"/>
      <c r="I43" s="850"/>
      <c r="J43" s="850"/>
      <c r="K43" s="850"/>
    </row>
    <row r="44" spans="1:11" s="7" customFormat="1" ht="12.75" customHeight="1" x14ac:dyDescent="0.2">
      <c r="A44" s="110"/>
      <c r="B44" s="923" t="s">
        <v>627</v>
      </c>
      <c r="C44" s="931" t="s">
        <v>1068</v>
      </c>
      <c r="D44" s="930"/>
      <c r="E44" s="930">
        <v>900</v>
      </c>
      <c r="F44" s="930">
        <f t="shared" si="2"/>
        <v>900</v>
      </c>
      <c r="G44" s="850"/>
      <c r="H44" s="850"/>
      <c r="I44" s="850"/>
      <c r="J44" s="850"/>
      <c r="K44" s="850"/>
    </row>
    <row r="45" spans="1:11" s="7" customFormat="1" x14ac:dyDescent="0.2">
      <c r="A45" s="110"/>
      <c r="B45" s="923" t="s">
        <v>628</v>
      </c>
      <c r="C45" s="931" t="s">
        <v>970</v>
      </c>
      <c r="D45" s="930"/>
      <c r="E45" s="930">
        <v>100</v>
      </c>
      <c r="F45" s="930">
        <f t="shared" si="2"/>
        <v>100</v>
      </c>
      <c r="G45" s="850"/>
      <c r="H45" s="850"/>
      <c r="I45" s="850"/>
      <c r="J45" s="850"/>
      <c r="K45" s="850"/>
    </row>
    <row r="46" spans="1:11" s="7" customFormat="1" x14ac:dyDescent="0.2">
      <c r="A46" s="110"/>
      <c r="B46" s="923" t="s">
        <v>629</v>
      </c>
      <c r="C46" s="939" t="s">
        <v>971</v>
      </c>
      <c r="D46" s="940"/>
      <c r="E46" s="940">
        <v>75</v>
      </c>
      <c r="F46" s="940">
        <f t="shared" si="2"/>
        <v>75</v>
      </c>
      <c r="G46" s="850"/>
      <c r="H46" s="850"/>
      <c r="I46" s="850"/>
      <c r="J46" s="850"/>
      <c r="K46" s="850"/>
    </row>
    <row r="47" spans="1:11" s="7" customFormat="1" x14ac:dyDescent="0.2">
      <c r="A47" s="110"/>
      <c r="B47" s="923" t="s">
        <v>630</v>
      </c>
      <c r="C47" s="939" t="s">
        <v>1270</v>
      </c>
      <c r="D47" s="940"/>
      <c r="E47" s="940">
        <v>2500</v>
      </c>
      <c r="F47" s="940">
        <f t="shared" si="2"/>
        <v>2500</v>
      </c>
      <c r="G47" s="850"/>
      <c r="H47" s="850"/>
      <c r="I47" s="850"/>
      <c r="J47" s="850"/>
      <c r="K47" s="850"/>
    </row>
    <row r="48" spans="1:11" s="7" customFormat="1" x14ac:dyDescent="0.2">
      <c r="A48" s="110"/>
      <c r="B48" s="923" t="s">
        <v>116</v>
      </c>
      <c r="C48" s="939" t="s">
        <v>1066</v>
      </c>
      <c r="D48" s="940"/>
      <c r="E48" s="940">
        <v>50</v>
      </c>
      <c r="F48" s="940">
        <f t="shared" si="2"/>
        <v>50</v>
      </c>
      <c r="G48" s="850"/>
      <c r="H48" s="850"/>
      <c r="I48" s="850"/>
      <c r="J48" s="850"/>
      <c r="K48" s="850"/>
    </row>
    <row r="49" spans="1:11" s="7" customFormat="1" ht="24" x14ac:dyDescent="0.2">
      <c r="A49" s="110"/>
      <c r="B49" s="928" t="s">
        <v>655</v>
      </c>
      <c r="C49" s="941" t="s">
        <v>1067</v>
      </c>
      <c r="D49" s="940"/>
      <c r="E49" s="940">
        <v>150</v>
      </c>
      <c r="F49" s="940">
        <f t="shared" si="2"/>
        <v>150</v>
      </c>
      <c r="G49" s="850"/>
      <c r="H49" s="850"/>
      <c r="I49" s="850"/>
      <c r="J49" s="850"/>
      <c r="K49" s="850"/>
    </row>
    <row r="50" spans="1:11" s="7" customFormat="1" x14ac:dyDescent="0.2">
      <c r="A50" s="110"/>
      <c r="B50" s="923" t="s">
        <v>656</v>
      </c>
      <c r="C50" s="939" t="s">
        <v>1075</v>
      </c>
      <c r="D50" s="940"/>
      <c r="E50" s="940">
        <v>127</v>
      </c>
      <c r="F50" s="940">
        <f t="shared" si="2"/>
        <v>127</v>
      </c>
      <c r="G50" s="850"/>
      <c r="H50" s="850"/>
      <c r="I50" s="850"/>
      <c r="J50" s="850"/>
      <c r="K50" s="850"/>
    </row>
    <row r="51" spans="1:11" s="7" customFormat="1" ht="25.5" customHeight="1" x14ac:dyDescent="0.2">
      <c r="A51" s="110"/>
      <c r="B51" s="928" t="s">
        <v>119</v>
      </c>
      <c r="C51" s="941" t="s">
        <v>1151</v>
      </c>
      <c r="D51" s="940"/>
      <c r="E51" s="940"/>
      <c r="F51" s="940">
        <f t="shared" si="2"/>
        <v>0</v>
      </c>
      <c r="G51" s="850"/>
      <c r="H51" s="850"/>
      <c r="I51" s="850"/>
      <c r="J51" s="850"/>
      <c r="K51" s="850"/>
    </row>
    <row r="52" spans="1:11" s="7" customFormat="1" ht="12.75" customHeight="1" x14ac:dyDescent="0.2">
      <c r="A52" s="110"/>
      <c r="B52" s="923" t="s">
        <v>120</v>
      </c>
      <c r="C52" s="939" t="s">
        <v>1148</v>
      </c>
      <c r="D52" s="940"/>
      <c r="E52" s="940"/>
      <c r="F52" s="940">
        <f t="shared" si="2"/>
        <v>0</v>
      </c>
      <c r="G52" s="850"/>
      <c r="H52" s="850"/>
      <c r="I52" s="850"/>
      <c r="J52" s="850"/>
      <c r="K52" s="850"/>
    </row>
    <row r="53" spans="1:11" s="7" customFormat="1" ht="25.5" customHeight="1" x14ac:dyDescent="0.2">
      <c r="A53" s="110"/>
      <c r="B53" s="928" t="s">
        <v>121</v>
      </c>
      <c r="C53" s="941" t="s">
        <v>1150</v>
      </c>
      <c r="D53" s="940"/>
      <c r="E53" s="940"/>
      <c r="F53" s="940">
        <f t="shared" si="2"/>
        <v>0</v>
      </c>
      <c r="G53" s="850"/>
      <c r="H53" s="850"/>
      <c r="I53" s="850"/>
      <c r="J53" s="850"/>
      <c r="K53" s="850"/>
    </row>
    <row r="54" spans="1:11" s="7" customFormat="1" ht="12.75" customHeight="1" x14ac:dyDescent="0.2">
      <c r="A54" s="110"/>
      <c r="B54" s="923" t="s">
        <v>124</v>
      </c>
      <c r="C54" s="939" t="s">
        <v>1149</v>
      </c>
      <c r="D54" s="940"/>
      <c r="E54" s="940"/>
      <c r="F54" s="940">
        <f t="shared" si="2"/>
        <v>0</v>
      </c>
      <c r="G54" s="850"/>
      <c r="H54" s="850"/>
      <c r="I54" s="850"/>
      <c r="J54" s="850"/>
      <c r="K54" s="850"/>
    </row>
    <row r="55" spans="1:11" s="7" customFormat="1" ht="27" customHeight="1" x14ac:dyDescent="0.2">
      <c r="A55" s="110"/>
      <c r="B55" s="928" t="s">
        <v>127</v>
      </c>
      <c r="C55" s="939" t="s">
        <v>1253</v>
      </c>
      <c r="D55" s="940"/>
      <c r="E55" s="940">
        <v>16674</v>
      </c>
      <c r="F55" s="940">
        <f t="shared" si="2"/>
        <v>16674</v>
      </c>
      <c r="G55" s="850"/>
      <c r="H55" s="850"/>
      <c r="I55" s="850"/>
      <c r="J55" s="850"/>
      <c r="K55" s="850"/>
    </row>
    <row r="56" spans="1:11" s="7" customFormat="1" ht="15" customHeight="1" x14ac:dyDescent="0.2">
      <c r="A56" s="110"/>
      <c r="B56" s="928" t="s">
        <v>128</v>
      </c>
      <c r="C56" s="939" t="s">
        <v>1308</v>
      </c>
      <c r="D56" s="940"/>
      <c r="E56" s="940">
        <v>1000</v>
      </c>
      <c r="F56" s="940">
        <f t="shared" si="2"/>
        <v>1000</v>
      </c>
      <c r="G56" s="850"/>
      <c r="H56" s="850"/>
      <c r="I56" s="850"/>
      <c r="J56" s="850"/>
      <c r="K56" s="850"/>
    </row>
    <row r="57" spans="1:11" s="7" customFormat="1" ht="15" customHeight="1" x14ac:dyDescent="0.2">
      <c r="A57" s="110"/>
      <c r="B57" s="928" t="s">
        <v>129</v>
      </c>
      <c r="C57" s="939" t="s">
        <v>1309</v>
      </c>
      <c r="D57" s="940"/>
      <c r="E57" s="940">
        <v>500</v>
      </c>
      <c r="F57" s="940">
        <f t="shared" si="2"/>
        <v>500</v>
      </c>
      <c r="G57" s="850"/>
      <c r="H57" s="850"/>
      <c r="I57" s="850"/>
      <c r="J57" s="850"/>
      <c r="K57" s="850"/>
    </row>
    <row r="58" spans="1:11" s="7" customFormat="1" ht="15" customHeight="1" x14ac:dyDescent="0.2">
      <c r="A58" s="110"/>
      <c r="B58" s="928"/>
      <c r="C58" s="939"/>
      <c r="D58" s="940"/>
      <c r="E58" s="940"/>
      <c r="F58" s="940"/>
      <c r="G58" s="850"/>
      <c r="H58" s="850"/>
      <c r="I58" s="850"/>
      <c r="J58" s="850"/>
      <c r="K58" s="850"/>
    </row>
    <row r="59" spans="1:11" s="7" customFormat="1" ht="15" customHeight="1" x14ac:dyDescent="0.2">
      <c r="A59" s="110"/>
      <c r="B59" s="928"/>
      <c r="C59" s="939"/>
      <c r="D59" s="940"/>
      <c r="E59" s="940"/>
      <c r="F59" s="940"/>
      <c r="G59" s="850"/>
      <c r="H59" s="850"/>
      <c r="I59" s="850"/>
      <c r="J59" s="850"/>
      <c r="K59" s="850"/>
    </row>
    <row r="60" spans="1:11" s="7" customFormat="1" ht="12.75" thickBot="1" x14ac:dyDescent="0.25">
      <c r="A60" s="110"/>
      <c r="B60" s="960" t="s">
        <v>130</v>
      </c>
      <c r="C60" s="961" t="s">
        <v>1056</v>
      </c>
      <c r="D60" s="962">
        <v>0</v>
      </c>
      <c r="E60" s="962">
        <v>430</v>
      </c>
      <c r="F60" s="962">
        <f>SUM(D60:E60)</f>
        <v>430</v>
      </c>
      <c r="G60" s="873"/>
      <c r="H60" s="873"/>
      <c r="I60" s="873"/>
      <c r="J60" s="873"/>
      <c r="K60" s="873"/>
    </row>
    <row r="61" spans="1:11" s="7" customFormat="1" ht="12.75" thickBot="1" x14ac:dyDescent="0.25">
      <c r="A61" s="110"/>
      <c r="B61" s="964" t="s">
        <v>133</v>
      </c>
      <c r="C61" s="957" t="s">
        <v>458</v>
      </c>
      <c r="D61" s="582">
        <f>SUM(D24:D60)</f>
        <v>116758</v>
      </c>
      <c r="E61" s="582">
        <f>SUM(E28:E60)</f>
        <v>175656</v>
      </c>
      <c r="F61" s="582">
        <f>SUM(F24:F60)</f>
        <v>292414</v>
      </c>
      <c r="G61" s="876"/>
      <c r="H61" s="876"/>
      <c r="I61" s="876"/>
      <c r="J61" s="876"/>
      <c r="K61" s="877"/>
    </row>
    <row r="62" spans="1:11" ht="12.75" thickBot="1" x14ac:dyDescent="0.25">
      <c r="B62" s="965" t="s">
        <v>136</v>
      </c>
      <c r="C62" s="966"/>
      <c r="D62" s="420"/>
      <c r="E62" s="420"/>
      <c r="F62" s="420"/>
      <c r="G62" s="967"/>
      <c r="H62" s="967"/>
      <c r="I62" s="967"/>
      <c r="J62" s="967"/>
      <c r="K62" s="967"/>
    </row>
    <row r="63" spans="1:11" ht="12.75" thickBot="1" x14ac:dyDescent="0.25">
      <c r="B63" s="964" t="s">
        <v>139</v>
      </c>
      <c r="C63" s="680" t="s">
        <v>1131</v>
      </c>
      <c r="D63" s="681">
        <f>D22+D61</f>
        <v>122608</v>
      </c>
      <c r="E63" s="681">
        <f>E22+E61</f>
        <v>229391</v>
      </c>
      <c r="F63" s="681">
        <f>F22+F61</f>
        <v>351999</v>
      </c>
      <c r="G63" s="958"/>
      <c r="H63" s="958"/>
      <c r="I63" s="958"/>
      <c r="J63" s="958"/>
      <c r="K63" s="959"/>
    </row>
    <row r="64" spans="1:11" x14ac:dyDescent="0.2">
      <c r="B64" s="963" t="s">
        <v>140</v>
      </c>
      <c r="C64" s="968"/>
      <c r="D64" s="969"/>
      <c r="E64" s="969"/>
      <c r="F64" s="969"/>
      <c r="G64" s="955"/>
      <c r="H64" s="955"/>
      <c r="I64" s="955"/>
      <c r="J64" s="955"/>
      <c r="K64" s="955"/>
    </row>
    <row r="65" spans="2:11" x14ac:dyDescent="0.2">
      <c r="B65" s="928" t="s">
        <v>143</v>
      </c>
      <c r="C65" s="944" t="s">
        <v>328</v>
      </c>
      <c r="D65" s="943"/>
      <c r="E65" s="943"/>
      <c r="F65" s="943"/>
      <c r="G65" s="927"/>
      <c r="H65" s="927"/>
      <c r="I65" s="927"/>
      <c r="J65" s="927"/>
      <c r="K65" s="927"/>
    </row>
    <row r="66" spans="2:11" x14ac:dyDescent="0.2">
      <c r="B66" s="928" t="s">
        <v>144</v>
      </c>
      <c r="C66" s="929" t="s">
        <v>455</v>
      </c>
      <c r="D66" s="943"/>
      <c r="E66" s="943"/>
      <c r="F66" s="943"/>
      <c r="G66" s="927"/>
      <c r="H66" s="927"/>
      <c r="I66" s="927"/>
      <c r="J66" s="927"/>
      <c r="K66" s="927"/>
    </row>
    <row r="67" spans="2:11" x14ac:dyDescent="0.2">
      <c r="B67" s="928" t="s">
        <v>145</v>
      </c>
      <c r="C67" s="942"/>
      <c r="D67" s="943"/>
      <c r="E67" s="943"/>
      <c r="F67" s="943"/>
      <c r="G67" s="927"/>
      <c r="H67" s="927"/>
      <c r="I67" s="927"/>
      <c r="J67" s="927"/>
      <c r="K67" s="927"/>
    </row>
    <row r="68" spans="2:11" x14ac:dyDescent="0.2">
      <c r="B68" s="928" t="s">
        <v>146</v>
      </c>
      <c r="C68" s="935" t="s">
        <v>1134</v>
      </c>
      <c r="D68" s="945">
        <f>SUM(D67)</f>
        <v>0</v>
      </c>
      <c r="E68" s="945">
        <f t="shared" ref="E68:F68" si="3">SUM(E67)</f>
        <v>0</v>
      </c>
      <c r="F68" s="945">
        <f t="shared" si="3"/>
        <v>0</v>
      </c>
      <c r="G68" s="927"/>
      <c r="H68" s="927"/>
      <c r="I68" s="927"/>
      <c r="J68" s="927"/>
      <c r="K68" s="927"/>
    </row>
    <row r="69" spans="2:11" x14ac:dyDescent="0.2">
      <c r="B69" s="928" t="s">
        <v>147</v>
      </c>
      <c r="C69" s="935"/>
      <c r="D69" s="945"/>
      <c r="E69" s="945"/>
      <c r="F69" s="945"/>
      <c r="G69" s="927"/>
      <c r="H69" s="927"/>
      <c r="I69" s="927"/>
      <c r="J69" s="927"/>
      <c r="K69" s="927"/>
    </row>
    <row r="70" spans="2:11" x14ac:dyDescent="0.2">
      <c r="B70" s="928" t="s">
        <v>149</v>
      </c>
      <c r="C70" s="946" t="s">
        <v>1132</v>
      </c>
      <c r="D70" s="945">
        <f>SUM(D68)</f>
        <v>0</v>
      </c>
      <c r="E70" s="945">
        <f>SUM(E68)</f>
        <v>0</v>
      </c>
      <c r="F70" s="945">
        <f>SUM(F68)</f>
        <v>0</v>
      </c>
      <c r="G70" s="927"/>
      <c r="H70" s="927"/>
      <c r="I70" s="927"/>
      <c r="J70" s="927"/>
      <c r="K70" s="927"/>
    </row>
    <row r="71" spans="2:11" x14ac:dyDescent="0.2">
      <c r="B71" s="928" t="s">
        <v>152</v>
      </c>
      <c r="C71" s="946"/>
      <c r="D71" s="945"/>
      <c r="E71" s="945"/>
      <c r="F71" s="945"/>
      <c r="G71" s="927"/>
      <c r="H71" s="927"/>
      <c r="I71" s="927"/>
      <c r="J71" s="927"/>
      <c r="K71" s="927"/>
    </row>
    <row r="72" spans="2:11" ht="24" x14ac:dyDescent="0.2">
      <c r="B72" s="928" t="s">
        <v>154</v>
      </c>
      <c r="C72" s="929" t="s">
        <v>1135</v>
      </c>
      <c r="D72" s="947">
        <f>D22+D68</f>
        <v>5850</v>
      </c>
      <c r="E72" s="947">
        <f>E22+E68</f>
        <v>53735</v>
      </c>
      <c r="F72" s="947">
        <f>F22+F68</f>
        <v>59585</v>
      </c>
      <c r="G72" s="927"/>
      <c r="H72" s="927"/>
      <c r="I72" s="927"/>
      <c r="J72" s="927"/>
      <c r="K72" s="927"/>
    </row>
    <row r="73" spans="2:11" ht="24" x14ac:dyDescent="0.2">
      <c r="B73" s="928" t="s">
        <v>155</v>
      </c>
      <c r="C73" s="929" t="s">
        <v>1136</v>
      </c>
      <c r="D73" s="947">
        <f>D61</f>
        <v>116758</v>
      </c>
      <c r="E73" s="947">
        <f t="shared" ref="E73:F73" si="4">E61</f>
        <v>175656</v>
      </c>
      <c r="F73" s="947">
        <f t="shared" si="4"/>
        <v>292414</v>
      </c>
      <c r="G73" s="927"/>
      <c r="H73" s="927"/>
      <c r="I73" s="927"/>
      <c r="J73" s="927"/>
      <c r="K73" s="927"/>
    </row>
    <row r="74" spans="2:11" ht="12.75" thickBot="1" x14ac:dyDescent="0.25">
      <c r="B74" s="960" t="s">
        <v>156</v>
      </c>
      <c r="C74" s="971"/>
      <c r="D74" s="972"/>
      <c r="E74" s="972"/>
      <c r="F74" s="972"/>
      <c r="G74" s="951"/>
      <c r="H74" s="951"/>
      <c r="I74" s="951"/>
      <c r="J74" s="951"/>
      <c r="K74" s="951"/>
    </row>
    <row r="75" spans="2:11" ht="24.75" thickBot="1" x14ac:dyDescent="0.25">
      <c r="B75" s="964" t="s">
        <v>1100</v>
      </c>
      <c r="C75" s="973" t="s">
        <v>1133</v>
      </c>
      <c r="D75" s="970">
        <f>D63+D70</f>
        <v>122608</v>
      </c>
      <c r="E75" s="970">
        <f>E63+E70</f>
        <v>229391</v>
      </c>
      <c r="F75" s="970">
        <f>F63+F70</f>
        <v>351999</v>
      </c>
      <c r="G75" s="958"/>
      <c r="H75" s="958"/>
      <c r="I75" s="958"/>
      <c r="J75" s="958"/>
      <c r="K75" s="959"/>
    </row>
  </sheetData>
  <sheetProtection selectLockedCells="1" selectUnlockedCells="1"/>
  <mergeCells count="9">
    <mergeCell ref="G7:H7"/>
    <mergeCell ref="I7:K7"/>
    <mergeCell ref="B1:F1"/>
    <mergeCell ref="C6:F6"/>
    <mergeCell ref="B7:B8"/>
    <mergeCell ref="C7:C8"/>
    <mergeCell ref="D7:F7"/>
    <mergeCell ref="B3:F3"/>
    <mergeCell ref="B4:F4"/>
  </mergeCells>
  <phoneticPr fontId="33" type="noConversion"/>
  <pageMargins left="0.55118110236220474" right="0.55118110236220474" top="0.98425196850393704" bottom="0.98425196850393704" header="0.51181102362204722" footer="0.51181102362204722"/>
  <pageSetup paperSize="8" scale="94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AA145"/>
  <sheetViews>
    <sheetView workbookViewId="0">
      <pane xSplit="2" ySplit="9" topLeftCell="C130" activePane="bottomRight" state="frozen"/>
      <selection activeCell="B65" sqref="B65"/>
      <selection pane="topRight" activeCell="B65" sqref="B65"/>
      <selection pane="bottomLeft" activeCell="B65" sqref="B65"/>
      <selection pane="bottomRight" activeCell="I139" sqref="I139"/>
    </sheetView>
  </sheetViews>
  <sheetFormatPr defaultColWidth="9.140625" defaultRowHeight="14.1" customHeight="1" x14ac:dyDescent="0.2"/>
  <cols>
    <col min="1" max="1" width="3.7109375" style="226" customWidth="1"/>
    <col min="2" max="2" width="41.42578125" style="232" customWidth="1"/>
    <col min="3" max="3" width="9.85546875" style="80" customWidth="1"/>
    <col min="4" max="6" width="8.7109375" style="80" customWidth="1"/>
    <col min="7" max="9" width="7.85546875" style="80" customWidth="1"/>
    <col min="10" max="12" width="8.42578125" style="82" customWidth="1"/>
    <col min="13" max="15" width="9.85546875" style="87" customWidth="1"/>
    <col min="16" max="16" width="7.28515625" style="87" customWidth="1"/>
    <col min="17" max="16384" width="9.140625" style="79"/>
  </cols>
  <sheetData>
    <row r="1" spans="1:18" ht="12.75" customHeight="1" x14ac:dyDescent="0.2">
      <c r="A1" s="1511" t="s">
        <v>1332</v>
      </c>
      <c r="B1" s="1511"/>
      <c r="C1" s="1511"/>
      <c r="D1" s="1511"/>
      <c r="E1" s="1511"/>
      <c r="F1" s="1511"/>
      <c r="G1" s="1511"/>
      <c r="H1" s="1511"/>
      <c r="I1" s="1511"/>
      <c r="J1" s="1511"/>
      <c r="K1" s="1511"/>
      <c r="L1" s="1511"/>
      <c r="M1" s="1464"/>
      <c r="N1" s="1464"/>
      <c r="O1" s="1464"/>
      <c r="P1" s="1464"/>
    </row>
    <row r="2" spans="1:18" ht="14.1" customHeight="1" x14ac:dyDescent="0.2">
      <c r="A2" s="1512" t="s">
        <v>77</v>
      </c>
      <c r="B2" s="1512"/>
      <c r="C2" s="1512"/>
      <c r="D2" s="1512"/>
      <c r="E2" s="1512"/>
      <c r="F2" s="1512"/>
      <c r="G2" s="1512"/>
      <c r="H2" s="1512"/>
      <c r="I2" s="1512"/>
      <c r="J2" s="1512"/>
      <c r="K2" s="1512"/>
      <c r="L2" s="1512"/>
      <c r="M2" s="1464"/>
      <c r="N2" s="1464"/>
      <c r="O2" s="1464"/>
      <c r="P2" s="1464"/>
    </row>
    <row r="3" spans="1:18" ht="14.1" customHeight="1" x14ac:dyDescent="0.2">
      <c r="A3" s="233"/>
      <c r="B3" s="1521" t="s">
        <v>1181</v>
      </c>
      <c r="C3" s="1521"/>
      <c r="D3" s="1521"/>
      <c r="E3" s="1521"/>
      <c r="F3" s="1521"/>
      <c r="G3" s="1521"/>
      <c r="H3" s="1521"/>
      <c r="I3" s="1521"/>
      <c r="J3" s="1521"/>
      <c r="K3" s="1521"/>
      <c r="L3" s="1521"/>
      <c r="M3" s="1521"/>
      <c r="N3" s="1521"/>
      <c r="O3" s="1521"/>
      <c r="P3" s="1521"/>
    </row>
    <row r="4" spans="1:18" ht="14.25" customHeight="1" thickBot="1" x14ac:dyDescent="0.25">
      <c r="A4" s="1513" t="s">
        <v>303</v>
      </c>
      <c r="B4" s="1513"/>
      <c r="C4" s="1513"/>
      <c r="D4" s="1513"/>
      <c r="E4" s="1513"/>
      <c r="F4" s="1513"/>
      <c r="G4" s="1513"/>
      <c r="H4" s="1513"/>
      <c r="I4" s="1513"/>
      <c r="J4" s="1513"/>
      <c r="K4" s="1513"/>
      <c r="L4" s="1513"/>
      <c r="M4" s="1514"/>
      <c r="N4" s="1514"/>
      <c r="O4" s="1514"/>
      <c r="P4" s="1514"/>
    </row>
    <row r="5" spans="1:18" ht="24" customHeight="1" thickBot="1" x14ac:dyDescent="0.25">
      <c r="A5" s="1515" t="s">
        <v>470</v>
      </c>
      <c r="B5" s="230" t="s">
        <v>57</v>
      </c>
      <c r="C5" s="81" t="s">
        <v>58</v>
      </c>
      <c r="D5" s="1532" t="s">
        <v>59</v>
      </c>
      <c r="E5" s="1503"/>
      <c r="F5" s="1504"/>
      <c r="G5" s="1503" t="s">
        <v>60</v>
      </c>
      <c r="H5" s="1503"/>
      <c r="I5" s="1503"/>
      <c r="J5" s="1502" t="s">
        <v>471</v>
      </c>
      <c r="K5" s="1503"/>
      <c r="L5" s="1504"/>
      <c r="M5" s="1502" t="s">
        <v>472</v>
      </c>
      <c r="N5" s="1503"/>
      <c r="O5" s="1504"/>
      <c r="P5" s="1505" t="s">
        <v>473</v>
      </c>
      <c r="Q5" s="1505"/>
      <c r="R5" s="1505"/>
    </row>
    <row r="6" spans="1:18" ht="1.9" hidden="1" customHeight="1" thickBot="1" x14ac:dyDescent="0.25">
      <c r="A6" s="1515"/>
      <c r="B6" s="231"/>
      <c r="C6" s="103"/>
      <c r="D6" s="103"/>
      <c r="E6" s="103"/>
      <c r="F6" s="103"/>
      <c r="G6" s="103"/>
      <c r="H6" s="104"/>
      <c r="I6" s="104"/>
      <c r="J6" s="104"/>
      <c r="K6" s="1019"/>
      <c r="L6" s="1019"/>
    </row>
    <row r="7" spans="1:18" s="179" customFormat="1" ht="23.25" customHeight="1" thickBot="1" x14ac:dyDescent="0.25">
      <c r="A7" s="1515"/>
      <c r="B7" s="231"/>
      <c r="C7" s="103"/>
      <c r="D7" s="1522" t="s">
        <v>316</v>
      </c>
      <c r="E7" s="1523"/>
      <c r="F7" s="1523"/>
      <c r="G7" s="1524"/>
      <c r="H7" s="1524"/>
      <c r="I7" s="1524"/>
      <c r="J7" s="1525"/>
      <c r="K7" s="1020"/>
      <c r="L7" s="1097"/>
      <c r="M7" s="1501" t="s">
        <v>1162</v>
      </c>
      <c r="N7" s="1501"/>
      <c r="O7" s="1501"/>
      <c r="P7" s="1501"/>
      <c r="Q7" s="1501"/>
      <c r="R7" s="1501"/>
    </row>
    <row r="8" spans="1:18" s="78" customFormat="1" ht="30.75" customHeight="1" thickBot="1" x14ac:dyDescent="0.25">
      <c r="A8" s="1515"/>
      <c r="B8" s="1517" t="s">
        <v>85</v>
      </c>
      <c r="C8" s="1517" t="s">
        <v>474</v>
      </c>
      <c r="D8" s="1530" t="s">
        <v>475</v>
      </c>
      <c r="E8" s="1506" t="s">
        <v>1339</v>
      </c>
      <c r="F8" s="1508" t="s">
        <v>1340</v>
      </c>
      <c r="G8" s="1526" t="s">
        <v>476</v>
      </c>
      <c r="H8" s="1506" t="s">
        <v>1339</v>
      </c>
      <c r="I8" s="1508" t="s">
        <v>1340</v>
      </c>
      <c r="J8" s="1528" t="s">
        <v>477</v>
      </c>
      <c r="K8" s="1499" t="s">
        <v>1339</v>
      </c>
      <c r="L8" s="1510" t="s">
        <v>1340</v>
      </c>
      <c r="M8" s="1519" t="s">
        <v>62</v>
      </c>
      <c r="N8" s="1499" t="s">
        <v>1339</v>
      </c>
      <c r="O8" s="1510" t="s">
        <v>1340</v>
      </c>
      <c r="P8" s="1519" t="s">
        <v>63</v>
      </c>
      <c r="Q8" s="1499" t="s">
        <v>1339</v>
      </c>
      <c r="R8" s="1499" t="s">
        <v>1340</v>
      </c>
    </row>
    <row r="9" spans="1:18" s="78" customFormat="1" ht="41.25" customHeight="1" x14ac:dyDescent="0.2">
      <c r="A9" s="1516"/>
      <c r="B9" s="1518"/>
      <c r="C9" s="1518"/>
      <c r="D9" s="1506"/>
      <c r="E9" s="1507"/>
      <c r="F9" s="1531"/>
      <c r="G9" s="1527"/>
      <c r="H9" s="1507"/>
      <c r="I9" s="1509"/>
      <c r="J9" s="1529"/>
      <c r="K9" s="1500"/>
      <c r="L9" s="1510"/>
      <c r="M9" s="1520"/>
      <c r="N9" s="1500"/>
      <c r="O9" s="1510"/>
      <c r="P9" s="1520"/>
      <c r="Q9" s="1500"/>
      <c r="R9" s="1500"/>
    </row>
    <row r="10" spans="1:18" ht="14.1" customHeight="1" x14ac:dyDescent="0.2">
      <c r="A10" s="1021"/>
      <c r="B10" s="1022" t="s">
        <v>77</v>
      </c>
      <c r="C10" s="1023"/>
      <c r="D10" s="1023"/>
      <c r="E10" s="1023"/>
      <c r="F10" s="1073"/>
      <c r="G10" s="1070"/>
      <c r="H10" s="1023"/>
      <c r="I10" s="1073"/>
      <c r="J10" s="1078"/>
      <c r="K10" s="1024"/>
      <c r="L10" s="1086"/>
      <c r="M10" s="1096"/>
      <c r="N10" s="1025"/>
      <c r="O10" s="1105"/>
      <c r="P10" s="1096"/>
      <c r="Q10" s="1026"/>
      <c r="R10" s="1026"/>
    </row>
    <row r="11" spans="1:18" ht="14.1" customHeight="1" x14ac:dyDescent="0.2">
      <c r="A11" s="1021"/>
      <c r="B11" s="1022"/>
      <c r="C11" s="1023"/>
      <c r="D11" s="1023"/>
      <c r="E11" s="1023"/>
      <c r="F11" s="1073"/>
      <c r="G11" s="1070"/>
      <c r="H11" s="1023"/>
      <c r="I11" s="1073"/>
      <c r="J11" s="1078"/>
      <c r="K11" s="1024"/>
      <c r="L11" s="1086"/>
      <c r="M11" s="1096"/>
      <c r="N11" s="1025"/>
      <c r="O11" s="1105"/>
      <c r="P11" s="1096"/>
      <c r="Q11" s="1026"/>
      <c r="R11" s="1026"/>
    </row>
    <row r="12" spans="1:18" ht="14.1" customHeight="1" x14ac:dyDescent="0.2">
      <c r="A12" s="1027" t="s">
        <v>478</v>
      </c>
      <c r="B12" s="1022" t="s">
        <v>479</v>
      </c>
      <c r="C12" s="1023"/>
      <c r="D12" s="1023"/>
      <c r="E12" s="1023"/>
      <c r="F12" s="1073"/>
      <c r="G12" s="1070"/>
      <c r="H12" s="1023"/>
      <c r="I12" s="1073"/>
      <c r="J12" s="1078"/>
      <c r="K12" s="1024"/>
      <c r="L12" s="1086"/>
      <c r="M12" s="1096"/>
      <c r="N12" s="1025"/>
      <c r="O12" s="1105"/>
      <c r="P12" s="1096"/>
      <c r="Q12" s="1026"/>
      <c r="R12" s="1026"/>
    </row>
    <row r="13" spans="1:18" ht="18.75" customHeight="1" x14ac:dyDescent="0.2">
      <c r="A13" s="1028" t="s">
        <v>480</v>
      </c>
      <c r="B13" s="1029" t="s">
        <v>1258</v>
      </c>
      <c r="C13" s="1030" t="s">
        <v>948</v>
      </c>
      <c r="D13" s="1031">
        <v>1103</v>
      </c>
      <c r="E13" s="1031"/>
      <c r="F13" s="1074"/>
      <c r="G13" s="1071">
        <v>297</v>
      </c>
      <c r="H13" s="1031"/>
      <c r="I13" s="1074"/>
      <c r="J13" s="1072">
        <f t="shared" ref="J13" si="0">D13+G13</f>
        <v>1400</v>
      </c>
      <c r="K13" s="1032"/>
      <c r="L13" s="1075"/>
      <c r="M13" s="1071">
        <f t="shared" ref="M13" si="1">J13</f>
        <v>1400</v>
      </c>
      <c r="N13" s="1031"/>
      <c r="O13" s="1074"/>
      <c r="P13" s="1096"/>
      <c r="Q13" s="1026"/>
      <c r="R13" s="1026"/>
    </row>
    <row r="14" spans="1:18" s="83" customFormat="1" ht="14.25" customHeight="1" x14ac:dyDescent="0.2">
      <c r="A14" s="1028" t="s">
        <v>488</v>
      </c>
      <c r="B14" s="1033" t="s">
        <v>1271</v>
      </c>
      <c r="C14" s="1034" t="s">
        <v>481</v>
      </c>
      <c r="D14" s="1031">
        <v>12000</v>
      </c>
      <c r="E14" s="1031"/>
      <c r="F14" s="1074"/>
      <c r="G14" s="1071">
        <v>3240</v>
      </c>
      <c r="H14" s="1031"/>
      <c r="I14" s="1074"/>
      <c r="J14" s="1072">
        <f>D14+G14</f>
        <v>15240</v>
      </c>
      <c r="K14" s="1032"/>
      <c r="L14" s="1075"/>
      <c r="M14" s="1070"/>
      <c r="N14" s="1023"/>
      <c r="O14" s="1073"/>
      <c r="P14" s="1070">
        <f>J14</f>
        <v>15240</v>
      </c>
      <c r="Q14" s="1035"/>
      <c r="R14" s="1035"/>
    </row>
    <row r="15" spans="1:18" s="83" customFormat="1" ht="16.5" customHeight="1" x14ac:dyDescent="0.2">
      <c r="A15" s="1028" t="s">
        <v>489</v>
      </c>
      <c r="B15" s="1033" t="s">
        <v>1310</v>
      </c>
      <c r="C15" s="1030" t="s">
        <v>948</v>
      </c>
      <c r="D15" s="1031">
        <v>14540</v>
      </c>
      <c r="E15" s="1031"/>
      <c r="F15" s="1074"/>
      <c r="G15" s="1071">
        <v>3926</v>
      </c>
      <c r="H15" s="1031"/>
      <c r="I15" s="1074"/>
      <c r="J15" s="1072">
        <f>SUM(D15:G15)</f>
        <v>18466</v>
      </c>
      <c r="K15" s="1032"/>
      <c r="L15" s="1075"/>
      <c r="M15" s="1070"/>
      <c r="N15" s="1023"/>
      <c r="O15" s="1073"/>
      <c r="P15" s="1070">
        <f>J15</f>
        <v>18466</v>
      </c>
      <c r="Q15" s="1035"/>
      <c r="R15" s="1035"/>
    </row>
    <row r="16" spans="1:18" s="83" customFormat="1" ht="16.5" customHeight="1" x14ac:dyDescent="0.2">
      <c r="A16" s="1028"/>
      <c r="B16" s="1033"/>
      <c r="C16" s="1030"/>
      <c r="D16" s="1031"/>
      <c r="E16" s="1031"/>
      <c r="F16" s="1074"/>
      <c r="G16" s="1071"/>
      <c r="H16" s="1031"/>
      <c r="I16" s="1074"/>
      <c r="J16" s="1072"/>
      <c r="K16" s="1032"/>
      <c r="L16" s="1075"/>
      <c r="M16" s="1070"/>
      <c r="N16" s="1023"/>
      <c r="O16" s="1073"/>
      <c r="P16" s="1070"/>
      <c r="Q16" s="1035"/>
      <c r="R16" s="1035"/>
    </row>
    <row r="17" spans="1:18" s="83" customFormat="1" ht="16.5" customHeight="1" thickBot="1" x14ac:dyDescent="0.25">
      <c r="A17" s="1111"/>
      <c r="B17" s="1112"/>
      <c r="C17" s="1113"/>
      <c r="D17" s="1114"/>
      <c r="E17" s="1114"/>
      <c r="F17" s="1115"/>
      <c r="G17" s="1116"/>
      <c r="H17" s="1114"/>
      <c r="I17" s="1115"/>
      <c r="J17" s="1117"/>
      <c r="K17" s="1118"/>
      <c r="L17" s="1119"/>
      <c r="M17" s="1120"/>
      <c r="N17" s="1121"/>
      <c r="O17" s="1122"/>
      <c r="P17" s="1120"/>
      <c r="Q17" s="1123"/>
      <c r="R17" s="1123"/>
    </row>
    <row r="18" spans="1:18" s="83" customFormat="1" ht="15" customHeight="1" thickBot="1" x14ac:dyDescent="0.25">
      <c r="A18" s="1136"/>
      <c r="B18" s="1137" t="s">
        <v>482</v>
      </c>
      <c r="C18" s="1138"/>
      <c r="D18" s="1139">
        <f>SUM(D13:D15)</f>
        <v>27643</v>
      </c>
      <c r="E18" s="1139"/>
      <c r="F18" s="1140"/>
      <c r="G18" s="1141">
        <f>SUM(G13:G15)</f>
        <v>7463</v>
      </c>
      <c r="H18" s="1139"/>
      <c r="I18" s="1140"/>
      <c r="J18" s="1141">
        <f>SUM(J13:J15)</f>
        <v>35106</v>
      </c>
      <c r="K18" s="1139"/>
      <c r="L18" s="1140"/>
      <c r="M18" s="1141">
        <f>SUM(M13:M15)</f>
        <v>1400</v>
      </c>
      <c r="N18" s="1139"/>
      <c r="O18" s="1140"/>
      <c r="P18" s="1141">
        <f>SUM(P13:P15)</f>
        <v>33706</v>
      </c>
      <c r="Q18" s="1142"/>
      <c r="R18" s="1143"/>
    </row>
    <row r="19" spans="1:18" ht="14.1" customHeight="1" x14ac:dyDescent="0.2">
      <c r="A19" s="1124"/>
      <c r="B19" s="1125"/>
      <c r="C19" s="1126"/>
      <c r="D19" s="1126"/>
      <c r="E19" s="1126"/>
      <c r="F19" s="1127"/>
      <c r="G19" s="1128"/>
      <c r="H19" s="1126"/>
      <c r="I19" s="1127"/>
      <c r="J19" s="1129"/>
      <c r="K19" s="1130"/>
      <c r="L19" s="1131"/>
      <c r="M19" s="1132"/>
      <c r="N19" s="1133"/>
      <c r="O19" s="1134"/>
      <c r="P19" s="1132"/>
      <c r="Q19" s="1135"/>
      <c r="R19" s="1135"/>
    </row>
    <row r="20" spans="1:18" ht="15" customHeight="1" x14ac:dyDescent="0.2">
      <c r="A20" s="1038" t="s">
        <v>483</v>
      </c>
      <c r="B20" s="1022" t="s">
        <v>484</v>
      </c>
      <c r="C20" s="1023"/>
      <c r="D20" s="1023"/>
      <c r="E20" s="1023"/>
      <c r="F20" s="1073"/>
      <c r="G20" s="1070"/>
      <c r="H20" s="1023"/>
      <c r="I20" s="1073"/>
      <c r="J20" s="1078"/>
      <c r="K20" s="1024"/>
      <c r="L20" s="1098"/>
      <c r="M20" s="1099"/>
      <c r="N20" s="1025"/>
      <c r="O20" s="1105"/>
      <c r="P20" s="1096"/>
      <c r="Q20" s="1026"/>
      <c r="R20" s="1026"/>
    </row>
    <row r="21" spans="1:18" ht="15" customHeight="1" x14ac:dyDescent="0.2">
      <c r="A21" s="1038"/>
      <c r="B21" s="1022"/>
      <c r="C21" s="1023"/>
      <c r="D21" s="1023"/>
      <c r="E21" s="1023"/>
      <c r="F21" s="1073"/>
      <c r="G21" s="1070"/>
      <c r="H21" s="1023"/>
      <c r="I21" s="1073"/>
      <c r="J21" s="1078"/>
      <c r="K21" s="1024"/>
      <c r="L21" s="1098"/>
      <c r="M21" s="1099"/>
      <c r="N21" s="1025"/>
      <c r="O21" s="1105"/>
      <c r="P21" s="1096"/>
      <c r="Q21" s="1026"/>
      <c r="R21" s="1026"/>
    </row>
    <row r="22" spans="1:18" ht="15" customHeight="1" x14ac:dyDescent="0.2">
      <c r="A22" s="1038"/>
      <c r="B22" s="1022"/>
      <c r="C22" s="1023"/>
      <c r="D22" s="1023"/>
      <c r="E22" s="1023"/>
      <c r="F22" s="1073"/>
      <c r="G22" s="1070"/>
      <c r="H22" s="1023"/>
      <c r="I22" s="1073"/>
      <c r="J22" s="1078"/>
      <c r="K22" s="1024"/>
      <c r="L22" s="1098"/>
      <c r="M22" s="1099"/>
      <c r="N22" s="1025"/>
      <c r="O22" s="1105"/>
      <c r="P22" s="1096"/>
      <c r="Q22" s="1026"/>
      <c r="R22" s="1026"/>
    </row>
    <row r="23" spans="1:18" ht="13.5" customHeight="1" thickBot="1" x14ac:dyDescent="0.25">
      <c r="A23" s="1144"/>
      <c r="B23" s="1145"/>
      <c r="C23" s="1121"/>
      <c r="D23" s="1114"/>
      <c r="E23" s="1114"/>
      <c r="F23" s="1115"/>
      <c r="G23" s="1116"/>
      <c r="H23" s="1114"/>
      <c r="I23" s="1115"/>
      <c r="J23" s="1117"/>
      <c r="K23" s="1118"/>
      <c r="L23" s="1146"/>
      <c r="M23" s="1147"/>
      <c r="N23" s="1114"/>
      <c r="O23" s="1115"/>
      <c r="P23" s="1116"/>
      <c r="Q23" s="1148"/>
      <c r="R23" s="1149"/>
    </row>
    <row r="24" spans="1:18" ht="12" customHeight="1" thickBot="1" x14ac:dyDescent="0.25">
      <c r="A24" s="1151"/>
      <c r="B24" s="1152" t="s">
        <v>485</v>
      </c>
      <c r="C24" s="1138"/>
      <c r="D24" s="1139">
        <f>SUM(D23:D23)</f>
        <v>0</v>
      </c>
      <c r="E24" s="1139"/>
      <c r="F24" s="1140"/>
      <c r="G24" s="1141">
        <f>SUM(G23:G23)</f>
        <v>0</v>
      </c>
      <c r="H24" s="1139"/>
      <c r="I24" s="1140"/>
      <c r="J24" s="1141">
        <f>SUM(J23:J23)</f>
        <v>0</v>
      </c>
      <c r="K24" s="1139"/>
      <c r="L24" s="1140"/>
      <c r="M24" s="1141">
        <f>SUM(M23:M23)</f>
        <v>0</v>
      </c>
      <c r="N24" s="1139"/>
      <c r="O24" s="1140"/>
      <c r="P24" s="1141">
        <f>SUM(P23:P23)</f>
        <v>0</v>
      </c>
      <c r="Q24" s="1153"/>
      <c r="R24" s="1154"/>
    </row>
    <row r="25" spans="1:18" ht="12" customHeight="1" x14ac:dyDescent="0.2">
      <c r="A25" s="1124"/>
      <c r="B25" s="1150"/>
      <c r="C25" s="1126"/>
      <c r="D25" s="1126"/>
      <c r="E25" s="1126"/>
      <c r="F25" s="1127"/>
      <c r="G25" s="1128"/>
      <c r="H25" s="1126"/>
      <c r="I25" s="1127"/>
      <c r="J25" s="1129"/>
      <c r="K25" s="1130"/>
      <c r="L25" s="1131"/>
      <c r="M25" s="1132"/>
      <c r="N25" s="1133"/>
      <c r="O25" s="1134"/>
      <c r="P25" s="1132"/>
      <c r="Q25" s="1135"/>
      <c r="R25" s="1135"/>
    </row>
    <row r="26" spans="1:18" ht="15.75" customHeight="1" x14ac:dyDescent="0.2">
      <c r="A26" s="1040" t="s">
        <v>486</v>
      </c>
      <c r="B26" s="1041" t="s">
        <v>487</v>
      </c>
      <c r="C26" s="1042"/>
      <c r="D26" s="1023"/>
      <c r="E26" s="1023"/>
      <c r="F26" s="1073"/>
      <c r="G26" s="1070"/>
      <c r="H26" s="1023"/>
      <c r="I26" s="1073"/>
      <c r="J26" s="1078"/>
      <c r="K26" s="1024"/>
      <c r="L26" s="1086"/>
      <c r="M26" s="1096"/>
      <c r="N26" s="1025"/>
      <c r="O26" s="1105"/>
      <c r="P26" s="1096"/>
      <c r="Q26" s="1026"/>
      <c r="R26" s="1026"/>
    </row>
    <row r="27" spans="1:18" s="83" customFormat="1" ht="19.5" customHeight="1" x14ac:dyDescent="0.2">
      <c r="A27" s="1043" t="s">
        <v>1259</v>
      </c>
      <c r="B27" s="1044" t="s">
        <v>980</v>
      </c>
      <c r="C27" s="1034" t="s">
        <v>481</v>
      </c>
      <c r="D27" s="1030">
        <v>0</v>
      </c>
      <c r="E27" s="1030"/>
      <c r="F27" s="1084"/>
      <c r="G27" s="1076">
        <v>0</v>
      </c>
      <c r="H27" s="1030"/>
      <c r="I27" s="1084"/>
      <c r="J27" s="1083">
        <f>D27+G27</f>
        <v>0</v>
      </c>
      <c r="K27" s="1045"/>
      <c r="L27" s="1092"/>
      <c r="M27" s="1076">
        <f t="shared" ref="M27:M31" si="2">J27</f>
        <v>0</v>
      </c>
      <c r="N27" s="1030"/>
      <c r="O27" s="1084"/>
      <c r="P27" s="1071"/>
      <c r="Q27" s="1035"/>
      <c r="R27" s="1035"/>
    </row>
    <row r="28" spans="1:18" s="83" customFormat="1" ht="24.75" customHeight="1" x14ac:dyDescent="0.2">
      <c r="A28" s="1043" t="s">
        <v>1260</v>
      </c>
      <c r="B28" s="1044" t="s">
        <v>1072</v>
      </c>
      <c r="C28" s="1030" t="s">
        <v>948</v>
      </c>
      <c r="D28" s="1030">
        <v>24980</v>
      </c>
      <c r="E28" s="1030"/>
      <c r="F28" s="1084"/>
      <c r="G28" s="1076">
        <v>6745</v>
      </c>
      <c r="H28" s="1030"/>
      <c r="I28" s="1084"/>
      <c r="J28" s="1083">
        <f>SUM(D28:G28)</f>
        <v>31725</v>
      </c>
      <c r="K28" s="1045"/>
      <c r="L28" s="1092"/>
      <c r="M28" s="1076">
        <f t="shared" si="2"/>
        <v>31725</v>
      </c>
      <c r="N28" s="1030"/>
      <c r="O28" s="1084"/>
      <c r="P28" s="1071"/>
      <c r="Q28" s="1035"/>
      <c r="R28" s="1035"/>
    </row>
    <row r="29" spans="1:18" s="83" customFormat="1" ht="23.25" customHeight="1" x14ac:dyDescent="0.2">
      <c r="A29" s="1043" t="s">
        <v>488</v>
      </c>
      <c r="B29" s="1044" t="s">
        <v>1073</v>
      </c>
      <c r="C29" s="1034" t="s">
        <v>481</v>
      </c>
      <c r="D29" s="1030">
        <v>19280</v>
      </c>
      <c r="E29" s="1030"/>
      <c r="F29" s="1084"/>
      <c r="G29" s="1076">
        <v>5206</v>
      </c>
      <c r="H29" s="1030"/>
      <c r="I29" s="1084"/>
      <c r="J29" s="1083">
        <f t="shared" ref="J29:J39" si="3">D29+G29</f>
        <v>24486</v>
      </c>
      <c r="K29" s="1045"/>
      <c r="L29" s="1092"/>
      <c r="M29" s="1076">
        <f t="shared" si="2"/>
        <v>24486</v>
      </c>
      <c r="N29" s="1030"/>
      <c r="O29" s="1084"/>
      <c r="P29" s="1076"/>
      <c r="Q29" s="1035"/>
      <c r="R29" s="1035"/>
    </row>
    <row r="30" spans="1:18" s="83" customFormat="1" ht="24.75" customHeight="1" x14ac:dyDescent="0.2">
      <c r="A30" s="1043" t="s">
        <v>489</v>
      </c>
      <c r="B30" s="1044" t="s">
        <v>960</v>
      </c>
      <c r="C30" s="1034" t="s">
        <v>481</v>
      </c>
      <c r="D30" s="1030">
        <f>23622-15748</f>
        <v>7874</v>
      </c>
      <c r="E30" s="1030"/>
      <c r="F30" s="1084"/>
      <c r="G30" s="1076">
        <f>6378-4252</f>
        <v>2126</v>
      </c>
      <c r="H30" s="1030"/>
      <c r="I30" s="1084"/>
      <c r="J30" s="1083">
        <f t="shared" si="3"/>
        <v>10000</v>
      </c>
      <c r="K30" s="1045"/>
      <c r="L30" s="1092"/>
      <c r="M30" s="1076">
        <f t="shared" si="2"/>
        <v>10000</v>
      </c>
      <c r="N30" s="1030"/>
      <c r="O30" s="1084"/>
      <c r="P30" s="1071"/>
      <c r="Q30" s="1035"/>
      <c r="R30" s="1035"/>
    </row>
    <row r="31" spans="1:18" s="83" customFormat="1" ht="36.75" customHeight="1" x14ac:dyDescent="0.2">
      <c r="A31" s="1043" t="s">
        <v>490</v>
      </c>
      <c r="B31" s="1033" t="s">
        <v>1254</v>
      </c>
      <c r="C31" s="1034" t="s">
        <v>481</v>
      </c>
      <c r="D31" s="1046">
        <v>215521</v>
      </c>
      <c r="E31" s="1046"/>
      <c r="F31" s="1085"/>
      <c r="G31" s="1077">
        <v>13302</v>
      </c>
      <c r="H31" s="1046"/>
      <c r="I31" s="1085"/>
      <c r="J31" s="1093">
        <f t="shared" si="3"/>
        <v>228823</v>
      </c>
      <c r="K31" s="1047"/>
      <c r="L31" s="1102"/>
      <c r="M31" s="1077">
        <f t="shared" si="2"/>
        <v>228823</v>
      </c>
      <c r="N31" s="1046"/>
      <c r="O31" s="1085"/>
      <c r="P31" s="1071"/>
      <c r="Q31" s="1035"/>
      <c r="R31" s="1035"/>
    </row>
    <row r="32" spans="1:18" s="83" customFormat="1" ht="21.75" customHeight="1" x14ac:dyDescent="0.2">
      <c r="A32" s="1043" t="s">
        <v>491</v>
      </c>
      <c r="B32" s="1048" t="s">
        <v>1185</v>
      </c>
      <c r="C32" s="1034" t="s">
        <v>481</v>
      </c>
      <c r="D32" s="1030">
        <v>10000</v>
      </c>
      <c r="E32" s="1030"/>
      <c r="F32" s="1084"/>
      <c r="G32" s="1076">
        <v>2700</v>
      </c>
      <c r="H32" s="1030"/>
      <c r="I32" s="1084"/>
      <c r="J32" s="1083">
        <f t="shared" si="3"/>
        <v>12700</v>
      </c>
      <c r="K32" s="1045"/>
      <c r="L32" s="1092"/>
      <c r="M32" s="1076"/>
      <c r="N32" s="1030"/>
      <c r="O32" s="1084"/>
      <c r="P32" s="1076">
        <f>J32</f>
        <v>12700</v>
      </c>
      <c r="Q32" s="1035"/>
      <c r="R32" s="1035"/>
    </row>
    <row r="33" spans="1:20" s="83" customFormat="1" ht="36.75" customHeight="1" x14ac:dyDescent="0.2">
      <c r="A33" s="1043" t="s">
        <v>1261</v>
      </c>
      <c r="B33" s="1049" t="s">
        <v>1057</v>
      </c>
      <c r="C33" s="1030" t="s">
        <v>481</v>
      </c>
      <c r="D33" s="1030">
        <v>141228</v>
      </c>
      <c r="E33" s="1030"/>
      <c r="F33" s="1084"/>
      <c r="G33" s="1076">
        <v>38132</v>
      </c>
      <c r="H33" s="1030"/>
      <c r="I33" s="1084"/>
      <c r="J33" s="1083">
        <f t="shared" si="3"/>
        <v>179360</v>
      </c>
      <c r="K33" s="1045"/>
      <c r="L33" s="1092"/>
      <c r="M33" s="1076">
        <f>J33</f>
        <v>179360</v>
      </c>
      <c r="N33" s="1030"/>
      <c r="O33" s="1084"/>
      <c r="P33" s="1076"/>
      <c r="Q33" s="1050"/>
      <c r="R33" s="1050"/>
      <c r="S33" s="601"/>
      <c r="T33" s="601"/>
    </row>
    <row r="34" spans="1:20" s="83" customFormat="1" ht="27" customHeight="1" x14ac:dyDescent="0.2">
      <c r="A34" s="1043" t="s">
        <v>1262</v>
      </c>
      <c r="B34" s="1048" t="s">
        <v>1105</v>
      </c>
      <c r="C34" s="1034"/>
      <c r="D34" s="1030">
        <v>118110</v>
      </c>
      <c r="E34" s="1030"/>
      <c r="F34" s="1084"/>
      <c r="G34" s="1076">
        <v>31890</v>
      </c>
      <c r="H34" s="1030"/>
      <c r="I34" s="1084"/>
      <c r="J34" s="1083">
        <f t="shared" si="3"/>
        <v>150000</v>
      </c>
      <c r="K34" s="1045"/>
      <c r="L34" s="1092"/>
      <c r="M34" s="1076">
        <f>J34</f>
        <v>150000</v>
      </c>
      <c r="N34" s="1030"/>
      <c r="O34" s="1084"/>
      <c r="P34" s="1076"/>
      <c r="Q34" s="1035"/>
      <c r="R34" s="1035"/>
    </row>
    <row r="35" spans="1:20" s="83" customFormat="1" ht="26.25" customHeight="1" x14ac:dyDescent="0.2">
      <c r="A35" s="1043" t="s">
        <v>493</v>
      </c>
      <c r="B35" s="1048" t="s">
        <v>1050</v>
      </c>
      <c r="C35" s="1034" t="s">
        <v>481</v>
      </c>
      <c r="D35" s="1030">
        <v>9213</v>
      </c>
      <c r="E35" s="1030"/>
      <c r="F35" s="1084"/>
      <c r="G35" s="1076">
        <v>2488</v>
      </c>
      <c r="H35" s="1030"/>
      <c r="I35" s="1084"/>
      <c r="J35" s="1083">
        <f t="shared" ref="J35" si="4">D35+G35</f>
        <v>11701</v>
      </c>
      <c r="K35" s="1045"/>
      <c r="L35" s="1092"/>
      <c r="M35" s="1076">
        <f t="shared" ref="M35" si="5">J35</f>
        <v>11701</v>
      </c>
      <c r="N35" s="1030"/>
      <c r="O35" s="1084"/>
      <c r="P35" s="1076"/>
      <c r="Q35" s="1035"/>
      <c r="R35" s="1035"/>
    </row>
    <row r="36" spans="1:20" s="83" customFormat="1" ht="21.75" customHeight="1" x14ac:dyDescent="0.2">
      <c r="A36" s="1043" t="s">
        <v>494</v>
      </c>
      <c r="B36" s="1048" t="s">
        <v>949</v>
      </c>
      <c r="C36" s="1034" t="s">
        <v>481</v>
      </c>
      <c r="D36" s="1030">
        <v>12367</v>
      </c>
      <c r="E36" s="1030"/>
      <c r="F36" s="1084"/>
      <c r="G36" s="1076">
        <v>3339</v>
      </c>
      <c r="H36" s="1030"/>
      <c r="I36" s="1084"/>
      <c r="J36" s="1083">
        <f t="shared" si="3"/>
        <v>15706</v>
      </c>
      <c r="K36" s="1045"/>
      <c r="L36" s="1092"/>
      <c r="M36" s="1076">
        <f t="shared" ref="M36" si="6">J36</f>
        <v>15706</v>
      </c>
      <c r="N36" s="1030"/>
      <c r="O36" s="1084"/>
      <c r="P36" s="1076"/>
      <c r="Q36" s="1039"/>
      <c r="R36" s="1035"/>
    </row>
    <row r="37" spans="1:20" s="83" customFormat="1" ht="21.75" customHeight="1" x14ac:dyDescent="0.2">
      <c r="A37" s="1051" t="s">
        <v>1311</v>
      </c>
      <c r="B37" s="1048" t="s">
        <v>979</v>
      </c>
      <c r="C37" s="1034" t="s">
        <v>481</v>
      </c>
      <c r="D37" s="1030">
        <v>2362</v>
      </c>
      <c r="E37" s="1030"/>
      <c r="F37" s="1084"/>
      <c r="G37" s="1076">
        <v>638</v>
      </c>
      <c r="H37" s="1030"/>
      <c r="I37" s="1084"/>
      <c r="J37" s="1083">
        <f t="shared" si="3"/>
        <v>3000</v>
      </c>
      <c r="K37" s="1045"/>
      <c r="L37" s="1092"/>
      <c r="M37" s="1076"/>
      <c r="N37" s="1030"/>
      <c r="O37" s="1084"/>
      <c r="P37" s="1076">
        <f>J37</f>
        <v>3000</v>
      </c>
      <c r="Q37" s="1039"/>
      <c r="R37" s="1035"/>
    </row>
    <row r="38" spans="1:20" s="83" customFormat="1" ht="27" customHeight="1" x14ac:dyDescent="0.2">
      <c r="A38" s="1051" t="s">
        <v>1312</v>
      </c>
      <c r="B38" s="1048" t="s">
        <v>1103</v>
      </c>
      <c r="C38" s="1030" t="s">
        <v>948</v>
      </c>
      <c r="D38" s="1030">
        <v>69000</v>
      </c>
      <c r="E38" s="1030"/>
      <c r="F38" s="1084"/>
      <c r="G38" s="1076">
        <v>16424</v>
      </c>
      <c r="H38" s="1030"/>
      <c r="I38" s="1084"/>
      <c r="J38" s="1083">
        <f t="shared" si="3"/>
        <v>85424</v>
      </c>
      <c r="K38" s="1045"/>
      <c r="L38" s="1092"/>
      <c r="M38" s="1076"/>
      <c r="N38" s="1030"/>
      <c r="O38" s="1084"/>
      <c r="P38" s="1076">
        <f>J38</f>
        <v>85424</v>
      </c>
      <c r="Q38" s="1039"/>
      <c r="R38" s="1035"/>
    </row>
    <row r="39" spans="1:20" s="83" customFormat="1" ht="26.25" customHeight="1" x14ac:dyDescent="0.2">
      <c r="A39" s="1043" t="s">
        <v>531</v>
      </c>
      <c r="B39" s="1048" t="s">
        <v>1106</v>
      </c>
      <c r="C39" s="1034" t="s">
        <v>481</v>
      </c>
      <c r="D39" s="1030">
        <v>53000</v>
      </c>
      <c r="E39" s="1030"/>
      <c r="F39" s="1084"/>
      <c r="G39" s="1076">
        <v>14310</v>
      </c>
      <c r="H39" s="1030"/>
      <c r="I39" s="1084"/>
      <c r="J39" s="1083">
        <f t="shared" si="3"/>
        <v>67310</v>
      </c>
      <c r="K39" s="1045"/>
      <c r="L39" s="1092"/>
      <c r="M39" s="1076">
        <f t="shared" ref="M39:M42" si="7">J39</f>
        <v>67310</v>
      </c>
      <c r="N39" s="1030"/>
      <c r="O39" s="1084"/>
      <c r="P39" s="1076"/>
      <c r="Q39" s="1039"/>
      <c r="R39" s="1035"/>
    </row>
    <row r="40" spans="1:20" s="83" customFormat="1" ht="27.75" customHeight="1" x14ac:dyDescent="0.2">
      <c r="A40" s="1043" t="s">
        <v>532</v>
      </c>
      <c r="B40" s="851" t="s">
        <v>1017</v>
      </c>
      <c r="C40" s="1034" t="s">
        <v>481</v>
      </c>
      <c r="D40" s="1030">
        <v>13950</v>
      </c>
      <c r="E40" s="1030"/>
      <c r="F40" s="1084"/>
      <c r="G40" s="1076">
        <v>3767</v>
      </c>
      <c r="H40" s="1030"/>
      <c r="I40" s="1084"/>
      <c r="J40" s="1083">
        <f t="shared" ref="J40:J45" si="8">SUM(D40:G40)</f>
        <v>17717</v>
      </c>
      <c r="K40" s="1045"/>
      <c r="L40" s="1092"/>
      <c r="M40" s="1076">
        <f t="shared" si="7"/>
        <v>17717</v>
      </c>
      <c r="N40" s="1030"/>
      <c r="O40" s="1084"/>
      <c r="P40" s="1076"/>
      <c r="Q40" s="1035"/>
      <c r="R40" s="1035"/>
    </row>
    <row r="41" spans="1:20" s="83" customFormat="1" ht="27.75" customHeight="1" x14ac:dyDescent="0.2">
      <c r="A41" s="1043" t="s">
        <v>533</v>
      </c>
      <c r="B41" s="1052" t="s">
        <v>1255</v>
      </c>
      <c r="C41" s="1030" t="s">
        <v>309</v>
      </c>
      <c r="D41" s="1030">
        <v>65427</v>
      </c>
      <c r="E41" s="1030"/>
      <c r="F41" s="1084"/>
      <c r="G41" s="1076">
        <v>612</v>
      </c>
      <c r="H41" s="1030"/>
      <c r="I41" s="1084"/>
      <c r="J41" s="1083">
        <f t="shared" si="8"/>
        <v>66039</v>
      </c>
      <c r="K41" s="1045"/>
      <c r="L41" s="1092"/>
      <c r="M41" s="1076">
        <f t="shared" si="7"/>
        <v>66039</v>
      </c>
      <c r="N41" s="1030"/>
      <c r="O41" s="1084"/>
      <c r="P41" s="1076"/>
      <c r="Q41" s="1035"/>
      <c r="R41" s="1035"/>
    </row>
    <row r="42" spans="1:20" s="83" customFormat="1" ht="27.75" customHeight="1" x14ac:dyDescent="0.2">
      <c r="A42" s="1043" t="s">
        <v>534</v>
      </c>
      <c r="B42" s="1052" t="s">
        <v>1152</v>
      </c>
      <c r="C42" s="1030" t="s">
        <v>309</v>
      </c>
      <c r="D42" s="1030">
        <v>23900</v>
      </c>
      <c r="E42" s="1030"/>
      <c r="F42" s="1084"/>
      <c r="G42" s="1076">
        <v>6453</v>
      </c>
      <c r="H42" s="1030"/>
      <c r="I42" s="1084"/>
      <c r="J42" s="1083">
        <f t="shared" si="8"/>
        <v>30353</v>
      </c>
      <c r="K42" s="1045"/>
      <c r="L42" s="1092"/>
      <c r="M42" s="1076">
        <f t="shared" si="7"/>
        <v>30353</v>
      </c>
      <c r="N42" s="1030"/>
      <c r="O42" s="1084"/>
      <c r="P42" s="1076"/>
      <c r="Q42" s="1035"/>
      <c r="R42" s="1035"/>
    </row>
    <row r="43" spans="1:20" s="83" customFormat="1" ht="27.75" customHeight="1" x14ac:dyDescent="0.2">
      <c r="A43" s="1043" t="s">
        <v>535</v>
      </c>
      <c r="B43" s="1052" t="s">
        <v>1227</v>
      </c>
      <c r="C43" s="1030" t="s">
        <v>309</v>
      </c>
      <c r="D43" s="1030">
        <v>1181</v>
      </c>
      <c r="E43" s="1030"/>
      <c r="F43" s="1084"/>
      <c r="G43" s="1076">
        <v>319</v>
      </c>
      <c r="H43" s="1030"/>
      <c r="I43" s="1084"/>
      <c r="J43" s="1083">
        <f t="shared" si="8"/>
        <v>1500</v>
      </c>
      <c r="K43" s="1045"/>
      <c r="L43" s="1092"/>
      <c r="M43" s="1076"/>
      <c r="N43" s="1030"/>
      <c r="O43" s="1084"/>
      <c r="P43" s="1076">
        <f>J43</f>
        <v>1500</v>
      </c>
      <c r="Q43" s="1035"/>
      <c r="R43" s="1035"/>
    </row>
    <row r="44" spans="1:20" s="83" customFormat="1" ht="27.75" customHeight="1" x14ac:dyDescent="0.2">
      <c r="A44" s="1043" t="s">
        <v>536</v>
      </c>
      <c r="B44" s="1052" t="s">
        <v>1313</v>
      </c>
      <c r="C44" s="1030" t="s">
        <v>309</v>
      </c>
      <c r="D44" s="1030">
        <v>0</v>
      </c>
      <c r="E44" s="1030"/>
      <c r="F44" s="1084"/>
      <c r="G44" s="1076">
        <v>0</v>
      </c>
      <c r="H44" s="1030"/>
      <c r="I44" s="1084"/>
      <c r="J44" s="1083">
        <f t="shared" si="8"/>
        <v>0</v>
      </c>
      <c r="K44" s="1045"/>
      <c r="L44" s="1092"/>
      <c r="M44" s="1076"/>
      <c r="N44" s="1030"/>
      <c r="O44" s="1084"/>
      <c r="P44" s="1076">
        <v>0</v>
      </c>
      <c r="Q44" s="1035"/>
      <c r="R44" s="1035"/>
    </row>
    <row r="45" spans="1:20" s="83" customFormat="1" ht="27.75" customHeight="1" x14ac:dyDescent="0.2">
      <c r="A45" s="1043" t="s">
        <v>537</v>
      </c>
      <c r="B45" s="1052" t="s">
        <v>1314</v>
      </c>
      <c r="C45" s="1030"/>
      <c r="D45" s="1030">
        <v>41000</v>
      </c>
      <c r="E45" s="1030"/>
      <c r="F45" s="1084"/>
      <c r="G45" s="1076">
        <v>11070</v>
      </c>
      <c r="H45" s="1030"/>
      <c r="I45" s="1084"/>
      <c r="J45" s="1083">
        <f t="shared" si="8"/>
        <v>52070</v>
      </c>
      <c r="K45" s="1045"/>
      <c r="L45" s="1092"/>
      <c r="M45" s="1076">
        <f>J45</f>
        <v>52070</v>
      </c>
      <c r="N45" s="1030"/>
      <c r="O45" s="1084"/>
      <c r="P45" s="1076"/>
      <c r="Q45" s="1035"/>
      <c r="R45" s="1035"/>
    </row>
    <row r="46" spans="1:20" s="83" customFormat="1" ht="27.75" customHeight="1" x14ac:dyDescent="0.2">
      <c r="A46" s="1043"/>
      <c r="B46" s="1052"/>
      <c r="C46" s="1030"/>
      <c r="D46" s="1030"/>
      <c r="E46" s="1030"/>
      <c r="F46" s="1084"/>
      <c r="G46" s="1076"/>
      <c r="H46" s="1030"/>
      <c r="I46" s="1084"/>
      <c r="J46" s="1083"/>
      <c r="K46" s="1045"/>
      <c r="L46" s="1092"/>
      <c r="M46" s="1076"/>
      <c r="N46" s="1030"/>
      <c r="O46" s="1084"/>
      <c r="P46" s="1076"/>
      <c r="Q46" s="1035"/>
      <c r="R46" s="1035"/>
    </row>
    <row r="47" spans="1:20" s="83" customFormat="1" ht="27.75" customHeight="1" x14ac:dyDescent="0.2">
      <c r="A47" s="1043"/>
      <c r="B47" s="1052"/>
      <c r="C47" s="1030"/>
      <c r="D47" s="1030"/>
      <c r="E47" s="1030"/>
      <c r="F47" s="1084"/>
      <c r="G47" s="1076"/>
      <c r="H47" s="1030"/>
      <c r="I47" s="1084"/>
      <c r="J47" s="1083"/>
      <c r="K47" s="1045"/>
      <c r="L47" s="1092"/>
      <c r="M47" s="1076"/>
      <c r="N47" s="1030"/>
      <c r="O47" s="1084"/>
      <c r="P47" s="1076"/>
      <c r="Q47" s="1035"/>
      <c r="R47" s="1035"/>
    </row>
    <row r="48" spans="1:20" s="83" customFormat="1" ht="10.5" customHeight="1" thickBot="1" x14ac:dyDescent="0.25">
      <c r="A48" s="1155"/>
      <c r="B48" s="1156"/>
      <c r="C48" s="1113"/>
      <c r="D48" s="1113"/>
      <c r="E48" s="1113"/>
      <c r="F48" s="1157"/>
      <c r="G48" s="1158"/>
      <c r="H48" s="1113"/>
      <c r="I48" s="1157"/>
      <c r="J48" s="1159"/>
      <c r="K48" s="1160"/>
      <c r="L48" s="1161"/>
      <c r="M48" s="1158"/>
      <c r="N48" s="1113"/>
      <c r="O48" s="1157"/>
      <c r="P48" s="1158"/>
      <c r="Q48" s="1123"/>
      <c r="R48" s="1123"/>
    </row>
    <row r="49" spans="1:18" ht="13.9" customHeight="1" thickBot="1" x14ac:dyDescent="0.25">
      <c r="A49" s="1165"/>
      <c r="B49" s="1137" t="s">
        <v>496</v>
      </c>
      <c r="C49" s="1166"/>
      <c r="D49" s="1139">
        <f>SUM(D27:D45)</f>
        <v>828393</v>
      </c>
      <c r="E49" s="1139"/>
      <c r="F49" s="1140"/>
      <c r="G49" s="1141">
        <f>SUM(G27:G45)</f>
        <v>159521</v>
      </c>
      <c r="H49" s="1139"/>
      <c r="I49" s="1140"/>
      <c r="J49" s="1141">
        <f>SUM(J27:J45)</f>
        <v>987914</v>
      </c>
      <c r="K49" s="1139"/>
      <c r="L49" s="1140"/>
      <c r="M49" s="1141">
        <f>SUM(M27:M45)</f>
        <v>885290</v>
      </c>
      <c r="N49" s="1139"/>
      <c r="O49" s="1140"/>
      <c r="P49" s="1141">
        <f>SUM(P27:P45)</f>
        <v>102624</v>
      </c>
      <c r="Q49" s="1153"/>
      <c r="R49" s="1154"/>
    </row>
    <row r="50" spans="1:18" s="83" customFormat="1" ht="13.9" customHeight="1" x14ac:dyDescent="0.2">
      <c r="A50" s="1162"/>
      <c r="B50" s="1125"/>
      <c r="C50" s="1163"/>
      <c r="D50" s="1126"/>
      <c r="E50" s="1126"/>
      <c r="F50" s="1127"/>
      <c r="G50" s="1128"/>
      <c r="H50" s="1126"/>
      <c r="I50" s="1127"/>
      <c r="J50" s="1129"/>
      <c r="K50" s="1130"/>
      <c r="L50" s="1131"/>
      <c r="M50" s="1128"/>
      <c r="N50" s="1126"/>
      <c r="O50" s="1127"/>
      <c r="P50" s="1129"/>
      <c r="Q50" s="1164"/>
      <c r="R50" s="1164"/>
    </row>
    <row r="51" spans="1:18" s="83" customFormat="1" ht="13.9" customHeight="1" x14ac:dyDescent="0.2">
      <c r="A51" s="1021"/>
      <c r="B51" s="1033"/>
      <c r="C51" s="1042"/>
      <c r="D51" s="1023"/>
      <c r="E51" s="1023"/>
      <c r="F51" s="1073"/>
      <c r="G51" s="1070"/>
      <c r="H51" s="1023"/>
      <c r="I51" s="1073"/>
      <c r="J51" s="1078"/>
      <c r="K51" s="1024"/>
      <c r="L51" s="1086"/>
      <c r="M51" s="1070"/>
      <c r="N51" s="1023"/>
      <c r="O51" s="1073"/>
      <c r="P51" s="1070"/>
      <c r="Q51" s="1035"/>
      <c r="R51" s="1035"/>
    </row>
    <row r="52" spans="1:18" s="84" customFormat="1" ht="15.75" customHeight="1" x14ac:dyDescent="0.15">
      <c r="A52" s="1038" t="s">
        <v>497</v>
      </c>
      <c r="B52" s="1036" t="s">
        <v>498</v>
      </c>
      <c r="C52" s="1053"/>
      <c r="D52" s="1024"/>
      <c r="E52" s="1024"/>
      <c r="F52" s="1086"/>
      <c r="G52" s="1078"/>
      <c r="H52" s="1024"/>
      <c r="I52" s="1086"/>
      <c r="J52" s="1078"/>
      <c r="K52" s="1024"/>
      <c r="L52" s="1086"/>
      <c r="M52" s="1100"/>
      <c r="N52" s="1054"/>
      <c r="O52" s="1108"/>
      <c r="P52" s="1100"/>
      <c r="Q52" s="1055"/>
      <c r="R52" s="1055"/>
    </row>
    <row r="53" spans="1:18" s="84" customFormat="1" ht="15.75" customHeight="1" x14ac:dyDescent="0.15">
      <c r="A53" s="1043" t="s">
        <v>480</v>
      </c>
      <c r="B53" s="1033" t="s">
        <v>549</v>
      </c>
      <c r="C53" s="1056" t="s">
        <v>307</v>
      </c>
      <c r="D53" s="1057">
        <v>7606</v>
      </c>
      <c r="E53" s="1057"/>
      <c r="F53" s="1087"/>
      <c r="G53" s="1079">
        <v>2054</v>
      </c>
      <c r="H53" s="1057"/>
      <c r="I53" s="1087"/>
      <c r="J53" s="1094">
        <f>D53+G53</f>
        <v>9660</v>
      </c>
      <c r="K53" s="1058"/>
      <c r="L53" s="1103"/>
      <c r="M53" s="1079">
        <v>6350</v>
      </c>
      <c r="N53" s="1057"/>
      <c r="O53" s="1087"/>
      <c r="P53" s="1079">
        <v>3310</v>
      </c>
      <c r="Q53" s="1055"/>
      <c r="R53" s="1055"/>
    </row>
    <row r="54" spans="1:18" s="84" customFormat="1" ht="15.75" customHeight="1" x14ac:dyDescent="0.2">
      <c r="A54" s="1043" t="s">
        <v>488</v>
      </c>
      <c r="B54" s="1059" t="s">
        <v>172</v>
      </c>
      <c r="C54" s="1056" t="s">
        <v>307</v>
      </c>
      <c r="D54" s="1034">
        <v>1000</v>
      </c>
      <c r="E54" s="1034"/>
      <c r="F54" s="1088"/>
      <c r="G54" s="1080">
        <v>270</v>
      </c>
      <c r="H54" s="1034"/>
      <c r="I54" s="1088"/>
      <c r="J54" s="1069">
        <f>SUM(D54:G54)</f>
        <v>1270</v>
      </c>
      <c r="K54" s="1060"/>
      <c r="L54" s="1091"/>
      <c r="M54" s="1069"/>
      <c r="N54" s="1060"/>
      <c r="O54" s="1091"/>
      <c r="P54" s="1080">
        <v>1270</v>
      </c>
      <c r="Q54" s="1055"/>
      <c r="R54" s="1055"/>
    </row>
    <row r="55" spans="1:18" s="84" customFormat="1" ht="27" customHeight="1" x14ac:dyDescent="0.15">
      <c r="A55" s="1043" t="s">
        <v>489</v>
      </c>
      <c r="B55" s="1048" t="s">
        <v>1107</v>
      </c>
      <c r="C55" s="1056" t="s">
        <v>307</v>
      </c>
      <c r="D55" s="1034">
        <v>19000</v>
      </c>
      <c r="E55" s="1034"/>
      <c r="F55" s="1088"/>
      <c r="G55" s="1080">
        <v>5130</v>
      </c>
      <c r="H55" s="1034"/>
      <c r="I55" s="1088"/>
      <c r="J55" s="1069">
        <f t="shared" ref="J55:J56" si="9">D55+G55</f>
        <v>24130</v>
      </c>
      <c r="K55" s="1060"/>
      <c r="L55" s="1091"/>
      <c r="M55" s="1080">
        <f>J55</f>
        <v>24130</v>
      </c>
      <c r="N55" s="1034"/>
      <c r="O55" s="1088"/>
      <c r="P55" s="1080"/>
      <c r="Q55" s="1055"/>
      <c r="R55" s="1055"/>
    </row>
    <row r="56" spans="1:18" s="84" customFormat="1" ht="31.5" customHeight="1" x14ac:dyDescent="0.15">
      <c r="A56" s="1043" t="s">
        <v>490</v>
      </c>
      <c r="B56" s="1048" t="s">
        <v>1104</v>
      </c>
      <c r="C56" s="1056" t="s">
        <v>307</v>
      </c>
      <c r="D56" s="1034">
        <v>12598</v>
      </c>
      <c r="E56" s="1034"/>
      <c r="F56" s="1088"/>
      <c r="G56" s="1080">
        <v>3402</v>
      </c>
      <c r="H56" s="1034"/>
      <c r="I56" s="1088"/>
      <c r="J56" s="1069">
        <f t="shared" si="9"/>
        <v>16000</v>
      </c>
      <c r="K56" s="1060"/>
      <c r="L56" s="1091"/>
      <c r="M56" s="1069"/>
      <c r="N56" s="1060"/>
      <c r="O56" s="1091"/>
      <c r="P56" s="1080">
        <f>J56</f>
        <v>16000</v>
      </c>
      <c r="Q56" s="1055"/>
      <c r="R56" s="1055"/>
    </row>
    <row r="57" spans="1:18" s="84" customFormat="1" ht="9.75" customHeight="1" thickBot="1" x14ac:dyDescent="0.2">
      <c r="A57" s="1155"/>
      <c r="B57" s="1167"/>
      <c r="C57" s="1168"/>
      <c r="D57" s="1169"/>
      <c r="E57" s="1169"/>
      <c r="F57" s="1170"/>
      <c r="G57" s="1171"/>
      <c r="H57" s="1169"/>
      <c r="I57" s="1170"/>
      <c r="J57" s="1172"/>
      <c r="K57" s="1173"/>
      <c r="L57" s="1174"/>
      <c r="M57" s="1172"/>
      <c r="N57" s="1173"/>
      <c r="O57" s="1174"/>
      <c r="P57" s="1171"/>
      <c r="Q57" s="1175"/>
      <c r="R57" s="1175"/>
    </row>
    <row r="58" spans="1:18" s="84" customFormat="1" ht="12" customHeight="1" thickBot="1" x14ac:dyDescent="0.2">
      <c r="A58" s="1151"/>
      <c r="B58" s="1137" t="s">
        <v>500</v>
      </c>
      <c r="C58" s="1166"/>
      <c r="D58" s="1138">
        <f>SUM(D53:D56)</f>
        <v>40204</v>
      </c>
      <c r="E58" s="1138"/>
      <c r="F58" s="1179"/>
      <c r="G58" s="569">
        <f>SUM(G53:G56)</f>
        <v>10856</v>
      </c>
      <c r="H58" s="1138"/>
      <c r="I58" s="1179"/>
      <c r="J58" s="569">
        <f>SUM(J53:J56)</f>
        <v>51060</v>
      </c>
      <c r="K58" s="1138"/>
      <c r="L58" s="1179"/>
      <c r="M58" s="569">
        <f>SUM(M53:M56)</f>
        <v>30480</v>
      </c>
      <c r="N58" s="1138"/>
      <c r="O58" s="1179"/>
      <c r="P58" s="569">
        <f>SUM(P53:P56)</f>
        <v>20580</v>
      </c>
      <c r="Q58" s="1180"/>
      <c r="R58" s="1181"/>
    </row>
    <row r="59" spans="1:18" s="84" customFormat="1" ht="12" customHeight="1" x14ac:dyDescent="0.15">
      <c r="A59" s="1124"/>
      <c r="B59" s="1176"/>
      <c r="C59" s="1177"/>
      <c r="D59" s="1130"/>
      <c r="E59" s="1130"/>
      <c r="F59" s="1131"/>
      <c r="G59" s="1129"/>
      <c r="H59" s="1130"/>
      <c r="I59" s="1131"/>
      <c r="J59" s="1129"/>
      <c r="K59" s="1130"/>
      <c r="L59" s="1131"/>
      <c r="M59" s="1129"/>
      <c r="N59" s="1130"/>
      <c r="O59" s="1131"/>
      <c r="P59" s="1129"/>
      <c r="Q59" s="1178"/>
      <c r="R59" s="1178"/>
    </row>
    <row r="60" spans="1:18" s="84" customFormat="1" ht="12" customHeight="1" x14ac:dyDescent="0.15">
      <c r="A60" s="1038"/>
      <c r="B60" s="1036"/>
      <c r="C60" s="1053"/>
      <c r="D60" s="1024"/>
      <c r="E60" s="1024"/>
      <c r="F60" s="1086"/>
      <c r="G60" s="1078"/>
      <c r="H60" s="1024"/>
      <c r="I60" s="1086"/>
      <c r="J60" s="1078"/>
      <c r="K60" s="1024"/>
      <c r="L60" s="1086"/>
      <c r="M60" s="1100"/>
      <c r="N60" s="1054"/>
      <c r="O60" s="1108"/>
      <c r="P60" s="1100"/>
      <c r="Q60" s="1055"/>
      <c r="R60" s="1055"/>
    </row>
    <row r="61" spans="1:18" s="78" customFormat="1" ht="15" customHeight="1" x14ac:dyDescent="0.2">
      <c r="A61" s="1038" t="s">
        <v>501</v>
      </c>
      <c r="B61" s="1022" t="s">
        <v>502</v>
      </c>
      <c r="C61" s="1024"/>
      <c r="D61" s="1024"/>
      <c r="E61" s="1024"/>
      <c r="F61" s="1086"/>
      <c r="G61" s="1078"/>
      <c r="H61" s="1024"/>
      <c r="I61" s="1086"/>
      <c r="J61" s="1078"/>
      <c r="K61" s="1024"/>
      <c r="L61" s="1086"/>
      <c r="M61" s="1071"/>
      <c r="N61" s="1031"/>
      <c r="O61" s="1074"/>
      <c r="P61" s="1071"/>
      <c r="Q61" s="1037"/>
      <c r="R61" s="1037"/>
    </row>
    <row r="62" spans="1:18" s="78" customFormat="1" ht="15" customHeight="1" thickBot="1" x14ac:dyDescent="0.25">
      <c r="A62" s="1182"/>
      <c r="B62" s="1145"/>
      <c r="C62" s="1183"/>
      <c r="D62" s="1121"/>
      <c r="E62" s="1121"/>
      <c r="F62" s="1122"/>
      <c r="G62" s="1120"/>
      <c r="H62" s="1121"/>
      <c r="I62" s="1122"/>
      <c r="J62" s="1184"/>
      <c r="K62" s="1185"/>
      <c r="L62" s="1186"/>
      <c r="M62" s="1116"/>
      <c r="N62" s="1114"/>
      <c r="O62" s="1115"/>
      <c r="P62" s="1116"/>
      <c r="Q62" s="1187"/>
      <c r="R62" s="1187"/>
    </row>
    <row r="63" spans="1:18" s="78" customFormat="1" ht="13.5" customHeight="1" thickBot="1" x14ac:dyDescent="0.25">
      <c r="A63" s="1151"/>
      <c r="B63" s="1152" t="s">
        <v>503</v>
      </c>
      <c r="C63" s="1138"/>
      <c r="D63" s="1138">
        <f>SUM(D62)</f>
        <v>0</v>
      </c>
      <c r="E63" s="1138"/>
      <c r="F63" s="1179"/>
      <c r="G63" s="569">
        <f>SUM(G62)</f>
        <v>0</v>
      </c>
      <c r="H63" s="1138"/>
      <c r="I63" s="1179"/>
      <c r="J63" s="569">
        <f>SUM(J62)</f>
        <v>0</v>
      </c>
      <c r="K63" s="1138"/>
      <c r="L63" s="1179"/>
      <c r="M63" s="569">
        <f>SUM(M62)</f>
        <v>0</v>
      </c>
      <c r="N63" s="1138"/>
      <c r="O63" s="1179"/>
      <c r="P63" s="569">
        <f>SUM(P62)</f>
        <v>0</v>
      </c>
      <c r="Q63" s="1142"/>
      <c r="R63" s="1190"/>
    </row>
    <row r="64" spans="1:18" s="78" customFormat="1" ht="13.5" customHeight="1" x14ac:dyDescent="0.2">
      <c r="A64" s="1124"/>
      <c r="B64" s="1188"/>
      <c r="C64" s="1130"/>
      <c r="D64" s="1130"/>
      <c r="E64" s="1130"/>
      <c r="F64" s="1131"/>
      <c r="G64" s="1129"/>
      <c r="H64" s="1130"/>
      <c r="I64" s="1131"/>
      <c r="J64" s="1129"/>
      <c r="K64" s="1130"/>
      <c r="L64" s="1131"/>
      <c r="M64" s="1129"/>
      <c r="N64" s="1130"/>
      <c r="O64" s="1131"/>
      <c r="P64" s="1129"/>
      <c r="Q64" s="1189"/>
      <c r="R64" s="1189"/>
    </row>
    <row r="65" spans="1:23" s="78" customFormat="1" ht="13.5" customHeight="1" x14ac:dyDescent="0.2">
      <c r="A65" s="1038" t="s">
        <v>88</v>
      </c>
      <c r="B65" s="1022" t="s">
        <v>173</v>
      </c>
      <c r="C65" s="1024"/>
      <c r="D65" s="1037"/>
      <c r="E65" s="1037"/>
      <c r="F65" s="1089"/>
      <c r="G65" s="1081"/>
      <c r="H65" s="1037"/>
      <c r="I65" s="1089"/>
      <c r="J65" s="1070"/>
      <c r="K65" s="1023"/>
      <c r="L65" s="1073"/>
      <c r="M65" s="1071"/>
      <c r="N65" s="1031"/>
      <c r="O65" s="1074"/>
      <c r="P65" s="1070"/>
      <c r="Q65" s="1037"/>
      <c r="R65" s="1037"/>
    </row>
    <row r="66" spans="1:23" s="78" customFormat="1" ht="20.25" customHeight="1" x14ac:dyDescent="0.2">
      <c r="A66" s="1021" t="s">
        <v>499</v>
      </c>
      <c r="B66" s="1029" t="s">
        <v>1018</v>
      </c>
      <c r="C66" s="1024" t="s">
        <v>307</v>
      </c>
      <c r="D66" s="1034">
        <v>10000</v>
      </c>
      <c r="E66" s="1034"/>
      <c r="F66" s="1088"/>
      <c r="G66" s="1080">
        <v>2700</v>
      </c>
      <c r="H66" s="1034"/>
      <c r="I66" s="1088"/>
      <c r="J66" s="1069">
        <f>SUM(D66:G66)</f>
        <v>12700</v>
      </c>
      <c r="K66" s="1060"/>
      <c r="L66" s="1091"/>
      <c r="M66" s="1076"/>
      <c r="N66" s="1030"/>
      <c r="O66" s="1084"/>
      <c r="P66" s="1080">
        <f>SUM(J66:M66)</f>
        <v>12700</v>
      </c>
      <c r="Q66" s="1037"/>
      <c r="R66" s="1037"/>
    </row>
    <row r="67" spans="1:23" s="78" customFormat="1" ht="25.5" customHeight="1" x14ac:dyDescent="0.2">
      <c r="A67" s="1021" t="s">
        <v>668</v>
      </c>
      <c r="B67" s="1061" t="s">
        <v>1055</v>
      </c>
      <c r="C67" s="1056" t="s">
        <v>307</v>
      </c>
      <c r="D67" s="1034">
        <v>2000</v>
      </c>
      <c r="E67" s="1034"/>
      <c r="F67" s="1088"/>
      <c r="G67" s="1080">
        <v>540</v>
      </c>
      <c r="H67" s="1034"/>
      <c r="I67" s="1088"/>
      <c r="J67" s="1069">
        <f>SUM(D67:G67)</f>
        <v>2540</v>
      </c>
      <c r="K67" s="1060"/>
      <c r="L67" s="1091"/>
      <c r="M67" s="1076"/>
      <c r="N67" s="1030"/>
      <c r="O67" s="1084"/>
      <c r="P67" s="1080">
        <f>J67</f>
        <v>2540</v>
      </c>
      <c r="Q67" s="1037"/>
      <c r="R67" s="1037"/>
    </row>
    <row r="68" spans="1:23" s="78" customFormat="1" ht="7.5" customHeight="1" thickBot="1" x14ac:dyDescent="0.25">
      <c r="A68" s="1144"/>
      <c r="B68" s="1145"/>
      <c r="C68" s="1168"/>
      <c r="D68" s="1169"/>
      <c r="E68" s="1169"/>
      <c r="F68" s="1170"/>
      <c r="G68" s="1171"/>
      <c r="H68" s="1169"/>
      <c r="I68" s="1170"/>
      <c r="J68" s="1172"/>
      <c r="K68" s="1173"/>
      <c r="L68" s="1174"/>
      <c r="M68" s="1158"/>
      <c r="N68" s="1113"/>
      <c r="O68" s="1157"/>
      <c r="P68" s="1171"/>
      <c r="Q68" s="1148"/>
      <c r="R68" s="1187"/>
    </row>
    <row r="69" spans="1:23" s="78" customFormat="1" ht="12.75" customHeight="1" thickBot="1" x14ac:dyDescent="0.25">
      <c r="A69" s="1195"/>
      <c r="B69" s="1152" t="s">
        <v>174</v>
      </c>
      <c r="C69" s="1138"/>
      <c r="D69" s="1138">
        <f>SUM(D66:D68)</f>
        <v>12000</v>
      </c>
      <c r="E69" s="1138"/>
      <c r="F69" s="1179"/>
      <c r="G69" s="569">
        <f>SUM(G66:G68)</f>
        <v>3240</v>
      </c>
      <c r="H69" s="1138"/>
      <c r="I69" s="1179"/>
      <c r="J69" s="569">
        <f>SUM(J66:J68)</f>
        <v>15240</v>
      </c>
      <c r="K69" s="1138"/>
      <c r="L69" s="1179"/>
      <c r="M69" s="569">
        <f>SUM(M66:M68)</f>
        <v>0</v>
      </c>
      <c r="N69" s="1138"/>
      <c r="O69" s="1179"/>
      <c r="P69" s="569">
        <f>SUM(P66:P68)</f>
        <v>15240</v>
      </c>
      <c r="Q69" s="1196"/>
      <c r="R69" s="1190"/>
      <c r="S69" s="724"/>
      <c r="T69" s="724"/>
      <c r="V69" s="724"/>
      <c r="W69" s="724"/>
    </row>
    <row r="70" spans="1:23" s="78" customFormat="1" ht="12.75" customHeight="1" x14ac:dyDescent="0.2">
      <c r="A70" s="1191"/>
      <c r="B70" s="1188"/>
      <c r="C70" s="1130"/>
      <c r="D70" s="1130"/>
      <c r="E70" s="1130"/>
      <c r="F70" s="1131"/>
      <c r="G70" s="1129"/>
      <c r="H70" s="1130"/>
      <c r="I70" s="1131"/>
      <c r="J70" s="1129"/>
      <c r="K70" s="1130"/>
      <c r="L70" s="1131"/>
      <c r="M70" s="1192"/>
      <c r="N70" s="1193"/>
      <c r="O70" s="1194"/>
      <c r="P70" s="1192"/>
      <c r="Q70" s="1193"/>
      <c r="R70" s="1189"/>
      <c r="V70" s="724"/>
    </row>
    <row r="71" spans="1:23" s="78" customFormat="1" ht="24" customHeight="1" x14ac:dyDescent="0.2">
      <c r="A71" s="1038" t="s">
        <v>89</v>
      </c>
      <c r="B71" s="1022" t="s">
        <v>72</v>
      </c>
      <c r="C71" s="1024"/>
      <c r="D71" s="1024"/>
      <c r="E71" s="1024"/>
      <c r="F71" s="1086"/>
      <c r="G71" s="1078"/>
      <c r="H71" s="1024"/>
      <c r="I71" s="1086"/>
      <c r="J71" s="1078"/>
      <c r="K71" s="1024"/>
      <c r="L71" s="1086"/>
      <c r="M71" s="1071"/>
      <c r="N71" s="1031"/>
      <c r="O71" s="1074"/>
      <c r="P71" s="1071"/>
      <c r="Q71" s="1037"/>
      <c r="R71" s="1037"/>
    </row>
    <row r="72" spans="1:23" s="78" customFormat="1" ht="24" customHeight="1" x14ac:dyDescent="0.2">
      <c r="A72" s="1038"/>
      <c r="B72" s="1022"/>
      <c r="C72" s="1024"/>
      <c r="D72" s="1024"/>
      <c r="E72" s="1024"/>
      <c r="F72" s="1086"/>
      <c r="G72" s="1078"/>
      <c r="H72" s="1024"/>
      <c r="I72" s="1086"/>
      <c r="J72" s="1078"/>
      <c r="K72" s="1024"/>
      <c r="L72" s="1086"/>
      <c r="M72" s="1071"/>
      <c r="N72" s="1031"/>
      <c r="O72" s="1074"/>
      <c r="P72" s="1071"/>
      <c r="Q72" s="1037"/>
      <c r="R72" s="1037"/>
    </row>
    <row r="73" spans="1:23" s="78" customFormat="1" ht="24" customHeight="1" x14ac:dyDescent="0.2">
      <c r="A73" s="1038"/>
      <c r="B73" s="1022"/>
      <c r="C73" s="1024"/>
      <c r="D73" s="1024"/>
      <c r="E73" s="1024"/>
      <c r="F73" s="1086"/>
      <c r="G73" s="1078"/>
      <c r="H73" s="1024"/>
      <c r="I73" s="1086"/>
      <c r="J73" s="1078"/>
      <c r="K73" s="1024"/>
      <c r="L73" s="1086"/>
      <c r="M73" s="1071"/>
      <c r="N73" s="1031"/>
      <c r="O73" s="1074"/>
      <c r="P73" s="1071"/>
      <c r="Q73" s="1037"/>
      <c r="R73" s="1037"/>
    </row>
    <row r="74" spans="1:23" s="78" customFormat="1" ht="8.25" customHeight="1" thickBot="1" x14ac:dyDescent="0.25">
      <c r="A74" s="1144"/>
      <c r="B74" s="1145"/>
      <c r="C74" s="1168"/>
      <c r="D74" s="1169"/>
      <c r="E74" s="1169"/>
      <c r="F74" s="1170"/>
      <c r="G74" s="1171"/>
      <c r="H74" s="1169"/>
      <c r="I74" s="1170"/>
      <c r="J74" s="1172"/>
      <c r="K74" s="1173"/>
      <c r="L74" s="1174"/>
      <c r="M74" s="1158"/>
      <c r="N74" s="1113"/>
      <c r="O74" s="1157"/>
      <c r="P74" s="1158"/>
      <c r="Q74" s="1187"/>
      <c r="R74" s="1187"/>
    </row>
    <row r="75" spans="1:23" s="78" customFormat="1" ht="22.5" customHeight="1" thickBot="1" x14ac:dyDescent="0.25">
      <c r="A75" s="1195"/>
      <c r="B75" s="1137" t="s">
        <v>504</v>
      </c>
      <c r="C75" s="1138"/>
      <c r="D75" s="1138">
        <f>SUM(D74:D74)</f>
        <v>0</v>
      </c>
      <c r="E75" s="1138"/>
      <c r="F75" s="1179"/>
      <c r="G75" s="569">
        <f>SUM(G74:G74)</f>
        <v>0</v>
      </c>
      <c r="H75" s="1138"/>
      <c r="I75" s="1179"/>
      <c r="J75" s="569">
        <f>SUM(J74:J74)</f>
        <v>0</v>
      </c>
      <c r="K75" s="1138"/>
      <c r="L75" s="1179"/>
      <c r="M75" s="569">
        <f>SUM(M74:M74)</f>
        <v>0</v>
      </c>
      <c r="N75" s="1138"/>
      <c r="O75" s="1179"/>
      <c r="P75" s="569">
        <f>SUM(P74:P74)</f>
        <v>0</v>
      </c>
      <c r="Q75" s="1142"/>
      <c r="R75" s="1190"/>
    </row>
    <row r="76" spans="1:23" s="78" customFormat="1" ht="12.75" customHeight="1" x14ac:dyDescent="0.2">
      <c r="A76" s="1191"/>
      <c r="B76" s="1197"/>
      <c r="C76" s="1126"/>
      <c r="D76" s="1130"/>
      <c r="E76" s="1130"/>
      <c r="F76" s="1131"/>
      <c r="G76" s="1129"/>
      <c r="H76" s="1130"/>
      <c r="I76" s="1131"/>
      <c r="J76" s="1129"/>
      <c r="K76" s="1130"/>
      <c r="L76" s="1131"/>
      <c r="M76" s="1192"/>
      <c r="N76" s="1193"/>
      <c r="O76" s="1194"/>
      <c r="P76" s="1192"/>
      <c r="Q76" s="1189"/>
      <c r="R76" s="1189"/>
    </row>
    <row r="77" spans="1:23" s="78" customFormat="1" ht="12" customHeight="1" x14ac:dyDescent="0.2">
      <c r="A77" s="1021"/>
      <c r="B77" s="1029"/>
      <c r="C77" s="1023"/>
      <c r="D77" s="1023"/>
      <c r="E77" s="1023"/>
      <c r="F77" s="1073"/>
      <c r="G77" s="1070"/>
      <c r="H77" s="1023"/>
      <c r="I77" s="1073"/>
      <c r="J77" s="1078"/>
      <c r="K77" s="1024"/>
      <c r="L77" s="1086"/>
      <c r="M77" s="1071"/>
      <c r="N77" s="1031"/>
      <c r="O77" s="1074"/>
      <c r="P77" s="1071"/>
      <c r="Q77" s="1037"/>
      <c r="R77" s="1037"/>
    </row>
    <row r="78" spans="1:23" s="78" customFormat="1" ht="12.75" customHeight="1" x14ac:dyDescent="0.2">
      <c r="A78" s="1038" t="s">
        <v>90</v>
      </c>
      <c r="B78" s="1022" t="s">
        <v>302</v>
      </c>
      <c r="C78" s="1023"/>
      <c r="D78" s="1023"/>
      <c r="E78" s="1023"/>
      <c r="F78" s="1073"/>
      <c r="G78" s="1070"/>
      <c r="H78" s="1023"/>
      <c r="I78" s="1073"/>
      <c r="J78" s="1078"/>
      <c r="K78" s="1024"/>
      <c r="L78" s="1086"/>
      <c r="M78" s="1071"/>
      <c r="N78" s="1031"/>
      <c r="O78" s="1074"/>
      <c r="P78" s="1071"/>
      <c r="Q78" s="1037"/>
      <c r="R78" s="1037"/>
    </row>
    <row r="79" spans="1:23" s="85" customFormat="1" ht="13.5" customHeight="1" x14ac:dyDescent="0.2">
      <c r="A79" s="1021" t="s">
        <v>480</v>
      </c>
      <c r="B79" s="1029" t="s">
        <v>73</v>
      </c>
      <c r="C79" s="1023"/>
      <c r="D79" s="1062">
        <v>47741</v>
      </c>
      <c r="E79" s="1062"/>
      <c r="F79" s="1090"/>
      <c r="G79" s="1082"/>
      <c r="H79" s="1062"/>
      <c r="I79" s="1090"/>
      <c r="J79" s="1095">
        <f>SUM(D79:G79)</f>
        <v>47741</v>
      </c>
      <c r="K79" s="1063"/>
      <c r="L79" s="1104"/>
      <c r="M79" s="1082">
        <f>J79</f>
        <v>47741</v>
      </c>
      <c r="N79" s="1062"/>
      <c r="O79" s="1090"/>
      <c r="P79" s="1106"/>
      <c r="Q79" s="1064"/>
      <c r="R79" s="1064"/>
    </row>
    <row r="80" spans="1:23" s="85" customFormat="1" ht="24.75" customHeight="1" x14ac:dyDescent="0.2">
      <c r="A80" s="1021" t="s">
        <v>488</v>
      </c>
      <c r="B80" s="936" t="s">
        <v>1186</v>
      </c>
      <c r="C80" s="1030"/>
      <c r="D80" s="1030"/>
      <c r="E80" s="1030"/>
      <c r="F80" s="1084"/>
      <c r="G80" s="1076"/>
      <c r="H80" s="1030"/>
      <c r="I80" s="1084"/>
      <c r="J80" s="1083">
        <f>D80+G80</f>
        <v>0</v>
      </c>
      <c r="K80" s="1045"/>
      <c r="L80" s="1092"/>
      <c r="M80" s="1076"/>
      <c r="N80" s="1030"/>
      <c r="O80" s="1084"/>
      <c r="P80" s="1076">
        <f>J80</f>
        <v>0</v>
      </c>
      <c r="Q80" s="1064"/>
      <c r="R80" s="1064"/>
    </row>
    <row r="81" spans="1:21" s="85" customFormat="1" ht="15.75" customHeight="1" x14ac:dyDescent="0.2">
      <c r="A81" s="1021" t="s">
        <v>489</v>
      </c>
      <c r="B81" s="936" t="s">
        <v>288</v>
      </c>
      <c r="C81" s="1030"/>
      <c r="D81" s="1030">
        <v>4350</v>
      </c>
      <c r="E81" s="1030"/>
      <c r="F81" s="1084"/>
      <c r="G81" s="1076"/>
      <c r="H81" s="1030"/>
      <c r="I81" s="1084"/>
      <c r="J81" s="1083">
        <f>D81+G81</f>
        <v>4350</v>
      </c>
      <c r="K81" s="1045"/>
      <c r="L81" s="1092"/>
      <c r="M81" s="1076"/>
      <c r="N81" s="1030"/>
      <c r="O81" s="1084"/>
      <c r="P81" s="1076">
        <f>J81</f>
        <v>4350</v>
      </c>
      <c r="Q81" s="1064"/>
      <c r="R81" s="1064"/>
    </row>
    <row r="82" spans="1:21" s="85" customFormat="1" ht="15.75" customHeight="1" x14ac:dyDescent="0.2">
      <c r="A82" s="1021"/>
      <c r="B82" s="936"/>
      <c r="C82" s="1030"/>
      <c r="D82" s="1030"/>
      <c r="E82" s="1030"/>
      <c r="F82" s="1084"/>
      <c r="G82" s="1076"/>
      <c r="H82" s="1030"/>
      <c r="I82" s="1084"/>
      <c r="J82" s="1083"/>
      <c r="K82" s="1045"/>
      <c r="L82" s="1092"/>
      <c r="M82" s="1076"/>
      <c r="N82" s="1030"/>
      <c r="O82" s="1084"/>
      <c r="P82" s="1076"/>
      <c r="Q82" s="1064"/>
      <c r="R82" s="1064"/>
    </row>
    <row r="83" spans="1:21" s="85" customFormat="1" ht="15.75" customHeight="1" x14ac:dyDescent="0.2">
      <c r="A83" s="1021"/>
      <c r="B83" s="936"/>
      <c r="C83" s="1030"/>
      <c r="D83" s="1030"/>
      <c r="E83" s="1030"/>
      <c r="F83" s="1084"/>
      <c r="G83" s="1076"/>
      <c r="H83" s="1030"/>
      <c r="I83" s="1084"/>
      <c r="J83" s="1083"/>
      <c r="K83" s="1045"/>
      <c r="L83" s="1092"/>
      <c r="M83" s="1076"/>
      <c r="N83" s="1030"/>
      <c r="O83" s="1084"/>
      <c r="P83" s="1076"/>
      <c r="Q83" s="1064"/>
      <c r="R83" s="1064"/>
    </row>
    <row r="84" spans="1:21" s="85" customFormat="1" ht="12" customHeight="1" thickBot="1" x14ac:dyDescent="0.25">
      <c r="A84" s="1144"/>
      <c r="B84" s="1198"/>
      <c r="C84" s="1113"/>
      <c r="D84" s="1113"/>
      <c r="E84" s="1113"/>
      <c r="F84" s="1157"/>
      <c r="G84" s="1158"/>
      <c r="H84" s="1113"/>
      <c r="I84" s="1157"/>
      <c r="J84" s="1159"/>
      <c r="K84" s="1160"/>
      <c r="L84" s="1161"/>
      <c r="M84" s="1158"/>
      <c r="N84" s="1113"/>
      <c r="O84" s="1157"/>
      <c r="P84" s="1158"/>
      <c r="Q84" s="1199"/>
      <c r="R84" s="1199"/>
    </row>
    <row r="85" spans="1:21" s="78" customFormat="1" ht="13.5" customHeight="1" thickBot="1" x14ac:dyDescent="0.25">
      <c r="A85" s="1195"/>
      <c r="B85" s="1152" t="s">
        <v>505</v>
      </c>
      <c r="C85" s="1138"/>
      <c r="D85" s="1138">
        <f>SUM(D79:D84)</f>
        <v>52091</v>
      </c>
      <c r="E85" s="1138"/>
      <c r="F85" s="1179"/>
      <c r="G85" s="569">
        <f>SUM(G79:G84)</f>
        <v>0</v>
      </c>
      <c r="H85" s="1138"/>
      <c r="I85" s="1179"/>
      <c r="J85" s="569">
        <f>SUM(J79:J84)</f>
        <v>52091</v>
      </c>
      <c r="K85" s="1138"/>
      <c r="L85" s="1179"/>
      <c r="M85" s="569">
        <f>SUM(M79:M84)</f>
        <v>47741</v>
      </c>
      <c r="N85" s="1138"/>
      <c r="O85" s="1179"/>
      <c r="P85" s="569">
        <f>SUM(P79:P84)</f>
        <v>4350</v>
      </c>
      <c r="Q85" s="1142"/>
      <c r="R85" s="1190"/>
    </row>
    <row r="86" spans="1:21" s="78" customFormat="1" ht="12.75" customHeight="1" x14ac:dyDescent="0.2">
      <c r="A86" s="1191"/>
      <c r="B86" s="1188"/>
      <c r="C86" s="1126"/>
      <c r="D86" s="1126"/>
      <c r="E86" s="1126"/>
      <c r="F86" s="1127"/>
      <c r="G86" s="1128"/>
      <c r="H86" s="1126"/>
      <c r="I86" s="1127"/>
      <c r="J86" s="1129"/>
      <c r="K86" s="1130"/>
      <c r="L86" s="1131"/>
      <c r="M86" s="1192"/>
      <c r="N86" s="1193"/>
      <c r="O86" s="1194"/>
      <c r="P86" s="1192"/>
      <c r="Q86" s="1189"/>
      <c r="R86" s="1189"/>
    </row>
    <row r="87" spans="1:21" ht="12.75" customHeight="1" x14ac:dyDescent="0.2">
      <c r="A87" s="1038" t="s">
        <v>507</v>
      </c>
      <c r="B87" s="1022" t="s">
        <v>1059</v>
      </c>
      <c r="C87" s="1023"/>
      <c r="D87" s="1023"/>
      <c r="E87" s="1023"/>
      <c r="F87" s="1073"/>
      <c r="G87" s="1070"/>
      <c r="H87" s="1023"/>
      <c r="I87" s="1073"/>
      <c r="J87" s="1078"/>
      <c r="K87" s="1024"/>
      <c r="L87" s="1086"/>
      <c r="M87" s="1096"/>
      <c r="N87" s="1025"/>
      <c r="O87" s="1105"/>
      <c r="P87" s="1096"/>
      <c r="Q87" s="1026"/>
      <c r="R87" s="1026"/>
    </row>
    <row r="88" spans="1:21" s="85" customFormat="1" ht="15" customHeight="1" x14ac:dyDescent="0.2">
      <c r="A88" s="1021" t="s">
        <v>480</v>
      </c>
      <c r="B88" s="1029" t="s">
        <v>1168</v>
      </c>
      <c r="C88" s="1034"/>
      <c r="D88" s="1034">
        <v>5000</v>
      </c>
      <c r="E88" s="1034"/>
      <c r="F88" s="1088"/>
      <c r="G88" s="1080"/>
      <c r="H88" s="1034"/>
      <c r="I88" s="1088"/>
      <c r="J88" s="1069">
        <f>D88</f>
        <v>5000</v>
      </c>
      <c r="K88" s="1060"/>
      <c r="L88" s="1091"/>
      <c r="M88" s="1101"/>
      <c r="N88" s="1065"/>
      <c r="O88" s="1109"/>
      <c r="P88" s="1080">
        <f>J88</f>
        <v>5000</v>
      </c>
      <c r="Q88" s="1064"/>
      <c r="R88" s="1064"/>
      <c r="U88" s="673"/>
    </row>
    <row r="89" spans="1:21" s="85" customFormat="1" ht="12" customHeight="1" thickBot="1" x14ac:dyDescent="0.25">
      <c r="A89" s="1144"/>
      <c r="B89" s="1145"/>
      <c r="C89" s="1121"/>
      <c r="D89" s="1121"/>
      <c r="E89" s="1121"/>
      <c r="F89" s="1122"/>
      <c r="G89" s="1120"/>
      <c r="H89" s="1121"/>
      <c r="I89" s="1122"/>
      <c r="J89" s="1184"/>
      <c r="K89" s="1185"/>
      <c r="L89" s="1186"/>
      <c r="M89" s="1200"/>
      <c r="N89" s="1201"/>
      <c r="O89" s="1202"/>
      <c r="P89" s="1120"/>
      <c r="Q89" s="1199"/>
      <c r="R89" s="1199"/>
    </row>
    <row r="90" spans="1:21" s="78" customFormat="1" ht="21.75" customHeight="1" thickBot="1" x14ac:dyDescent="0.25">
      <c r="A90" s="1195"/>
      <c r="B90" s="1152" t="s">
        <v>506</v>
      </c>
      <c r="C90" s="1203"/>
      <c r="D90" s="1203">
        <f>SUM(D88:D88)</f>
        <v>5000</v>
      </c>
      <c r="E90" s="1203"/>
      <c r="F90" s="1204"/>
      <c r="G90" s="1205">
        <f>SUM(G88:G88)</f>
        <v>0</v>
      </c>
      <c r="H90" s="1203"/>
      <c r="I90" s="1204"/>
      <c r="J90" s="1205">
        <f>SUM(J88:J88)</f>
        <v>5000</v>
      </c>
      <c r="K90" s="1203"/>
      <c r="L90" s="1204"/>
      <c r="M90" s="1205">
        <f>SUM(M88:M88)</f>
        <v>0</v>
      </c>
      <c r="N90" s="1203"/>
      <c r="O90" s="1204"/>
      <c r="P90" s="1205">
        <f>SUM(P88:P88)</f>
        <v>5000</v>
      </c>
      <c r="Q90" s="1142"/>
      <c r="R90" s="1190"/>
    </row>
    <row r="91" spans="1:21" s="78" customFormat="1" ht="13.5" customHeight="1" x14ac:dyDescent="0.2">
      <c r="A91" s="1191"/>
      <c r="B91" s="1188"/>
      <c r="C91" s="1130"/>
      <c r="D91" s="1130"/>
      <c r="E91" s="1130"/>
      <c r="F91" s="1131"/>
      <c r="G91" s="1129"/>
      <c r="H91" s="1130"/>
      <c r="I91" s="1131"/>
      <c r="J91" s="1129"/>
      <c r="K91" s="1130"/>
      <c r="L91" s="1131"/>
      <c r="M91" s="1129"/>
      <c r="N91" s="1130"/>
      <c r="O91" s="1131"/>
      <c r="P91" s="1129"/>
      <c r="Q91" s="1189"/>
      <c r="R91" s="1189"/>
    </row>
    <row r="92" spans="1:21" s="78" customFormat="1" ht="13.5" customHeight="1" thickBot="1" x14ac:dyDescent="0.25">
      <c r="A92" s="1144"/>
      <c r="B92" s="1206"/>
      <c r="C92" s="1185"/>
      <c r="D92" s="1185"/>
      <c r="E92" s="1185"/>
      <c r="F92" s="1186"/>
      <c r="G92" s="1184"/>
      <c r="H92" s="1185"/>
      <c r="I92" s="1186"/>
      <c r="J92" s="1184"/>
      <c r="K92" s="1185"/>
      <c r="L92" s="1186"/>
      <c r="M92" s="1116"/>
      <c r="N92" s="1114"/>
      <c r="O92" s="1115"/>
      <c r="P92" s="1116"/>
      <c r="Q92" s="1187"/>
      <c r="R92" s="1187"/>
    </row>
    <row r="93" spans="1:21" s="78" customFormat="1" ht="13.5" customHeight="1" thickBot="1" x14ac:dyDescent="0.25">
      <c r="A93" s="1195"/>
      <c r="B93" s="1152" t="s">
        <v>175</v>
      </c>
      <c r="C93" s="1138"/>
      <c r="D93" s="1138">
        <f>D18+D24+D49+D58+D63+D69+D75+D85+D90</f>
        <v>965331</v>
      </c>
      <c r="E93" s="1138"/>
      <c r="F93" s="1179"/>
      <c r="G93" s="569">
        <f>G18+G24+G49+G58+G63+G69+G75+G85+G90</f>
        <v>181080</v>
      </c>
      <c r="H93" s="1138"/>
      <c r="I93" s="1179"/>
      <c r="J93" s="569">
        <f>J18+J24+J49+J58+J63+J69+J75+J85+J90</f>
        <v>1146411</v>
      </c>
      <c r="K93" s="1138"/>
      <c r="L93" s="1179"/>
      <c r="M93" s="569">
        <f>M18+M24+M49+M58+M63+M69+M75+M85+M90</f>
        <v>964911</v>
      </c>
      <c r="N93" s="1138"/>
      <c r="O93" s="1179"/>
      <c r="P93" s="569">
        <f>P18+P24+P49+P58+P63+P69+P75+P85+P90</f>
        <v>181500</v>
      </c>
      <c r="Q93" s="1142"/>
      <c r="R93" s="1190"/>
    </row>
    <row r="94" spans="1:21" s="78" customFormat="1" ht="13.5" customHeight="1" x14ac:dyDescent="0.2">
      <c r="A94" s="1191"/>
      <c r="B94" s="1188"/>
      <c r="C94" s="1130"/>
      <c r="D94" s="1130"/>
      <c r="E94" s="1130"/>
      <c r="F94" s="1131"/>
      <c r="G94" s="1129"/>
      <c r="H94" s="1130"/>
      <c r="I94" s="1131"/>
      <c r="J94" s="1129"/>
      <c r="K94" s="1130"/>
      <c r="L94" s="1131"/>
      <c r="M94" s="1192"/>
      <c r="N94" s="1193"/>
      <c r="O94" s="1194"/>
      <c r="P94" s="1192"/>
      <c r="Q94" s="1189"/>
      <c r="R94" s="1189"/>
    </row>
    <row r="95" spans="1:21" s="86" customFormat="1" ht="13.5" customHeight="1" x14ac:dyDescent="0.15">
      <c r="A95" s="1021"/>
      <c r="B95" s="1022"/>
      <c r="C95" s="1024"/>
      <c r="D95" s="1024"/>
      <c r="E95" s="1024"/>
      <c r="F95" s="1086"/>
      <c r="G95" s="1078"/>
      <c r="H95" s="1024"/>
      <c r="I95" s="1086"/>
      <c r="J95" s="1078"/>
      <c r="K95" s="1024"/>
      <c r="L95" s="1086"/>
      <c r="M95" s="1072"/>
      <c r="N95" s="1032"/>
      <c r="O95" s="1075"/>
      <c r="P95" s="1072"/>
      <c r="Q95" s="1066"/>
      <c r="R95" s="1066"/>
    </row>
    <row r="96" spans="1:21" s="86" customFormat="1" ht="15.75" customHeight="1" x14ac:dyDescent="0.15">
      <c r="A96" s="1038" t="s">
        <v>510</v>
      </c>
      <c r="B96" s="1022" t="s">
        <v>508</v>
      </c>
      <c r="C96" s="1024"/>
      <c r="D96" s="1024"/>
      <c r="E96" s="1024"/>
      <c r="F96" s="1086"/>
      <c r="G96" s="1078"/>
      <c r="H96" s="1024"/>
      <c r="I96" s="1086"/>
      <c r="J96" s="1078"/>
      <c r="K96" s="1024"/>
      <c r="L96" s="1086"/>
      <c r="M96" s="1072"/>
      <c r="N96" s="1032"/>
      <c r="O96" s="1075"/>
      <c r="P96" s="1072"/>
      <c r="Q96" s="1066"/>
      <c r="R96" s="1066"/>
    </row>
    <row r="97" spans="1:27" s="586" customFormat="1" ht="21.75" customHeight="1" x14ac:dyDescent="0.2">
      <c r="A97" s="1021" t="s">
        <v>480</v>
      </c>
      <c r="B97" s="1029" t="s">
        <v>1098</v>
      </c>
      <c r="C97" s="1034" t="s">
        <v>307</v>
      </c>
      <c r="D97" s="1030">
        <v>1500</v>
      </c>
      <c r="E97" s="1030"/>
      <c r="F97" s="1084"/>
      <c r="G97" s="1076">
        <v>464</v>
      </c>
      <c r="H97" s="1030"/>
      <c r="I97" s="1084"/>
      <c r="J97" s="1083">
        <f>SUM(D97:G97)</f>
        <v>1964</v>
      </c>
      <c r="K97" s="1045"/>
      <c r="L97" s="1092"/>
      <c r="M97" s="1076"/>
      <c r="N97" s="1030"/>
      <c r="O97" s="1084"/>
      <c r="P97" s="1076">
        <v>1964</v>
      </c>
      <c r="Q97" s="1067"/>
      <c r="R97" s="1067"/>
    </row>
    <row r="98" spans="1:27" s="86" customFormat="1" ht="21.75" customHeight="1" x14ac:dyDescent="0.15">
      <c r="A98" s="1021" t="s">
        <v>488</v>
      </c>
      <c r="B98" s="1029" t="s">
        <v>981</v>
      </c>
      <c r="C98" s="1034" t="s">
        <v>307</v>
      </c>
      <c r="D98" s="1034">
        <v>5500</v>
      </c>
      <c r="E98" s="1034"/>
      <c r="F98" s="1088"/>
      <c r="G98" s="1080">
        <v>1704</v>
      </c>
      <c r="H98" s="1034"/>
      <c r="I98" s="1088"/>
      <c r="J98" s="1069">
        <f>SUM(D98:G98)</f>
        <v>7204</v>
      </c>
      <c r="K98" s="1060"/>
      <c r="L98" s="1091"/>
      <c r="M98" s="1076">
        <v>2833</v>
      </c>
      <c r="N98" s="1030"/>
      <c r="O98" s="1084"/>
      <c r="P98" s="1107">
        <v>4371</v>
      </c>
      <c r="Q98" s="1066"/>
      <c r="R98" s="1066"/>
      <c r="AA98" s="418"/>
    </row>
    <row r="99" spans="1:27" s="86" customFormat="1" ht="12.75" customHeight="1" thickBot="1" x14ac:dyDescent="0.2">
      <c r="A99" s="1144"/>
      <c r="B99" s="1145"/>
      <c r="C99" s="1169"/>
      <c r="D99" s="1169"/>
      <c r="E99" s="1169"/>
      <c r="F99" s="1170"/>
      <c r="G99" s="1171"/>
      <c r="H99" s="1169"/>
      <c r="I99" s="1170"/>
      <c r="J99" s="1172"/>
      <c r="K99" s="1173"/>
      <c r="L99" s="1174"/>
      <c r="M99" s="1158"/>
      <c r="N99" s="1113"/>
      <c r="O99" s="1157"/>
      <c r="P99" s="1158"/>
      <c r="Q99" s="1207"/>
      <c r="R99" s="1207"/>
    </row>
    <row r="100" spans="1:27" s="86" customFormat="1" ht="21.75" customHeight="1" thickBot="1" x14ac:dyDescent="0.2">
      <c r="A100" s="1195"/>
      <c r="B100" s="1152" t="s">
        <v>509</v>
      </c>
      <c r="C100" s="1138"/>
      <c r="D100" s="1212">
        <f>SUM(D97:D98)</f>
        <v>7000</v>
      </c>
      <c r="E100" s="1212"/>
      <c r="F100" s="1213"/>
      <c r="G100" s="1214">
        <f>SUM(G97:G98)</f>
        <v>2168</v>
      </c>
      <c r="H100" s="1212"/>
      <c r="I100" s="1213"/>
      <c r="J100" s="1214">
        <f>SUM(J97:J98)</f>
        <v>9168</v>
      </c>
      <c r="K100" s="1212"/>
      <c r="L100" s="1213"/>
      <c r="M100" s="1214">
        <f>SUM(M97:M98)</f>
        <v>2833</v>
      </c>
      <c r="N100" s="1212"/>
      <c r="O100" s="1213"/>
      <c r="P100" s="1214">
        <f>SUM(P97:P98)</f>
        <v>6335</v>
      </c>
      <c r="Q100" s="1215"/>
      <c r="R100" s="1216"/>
    </row>
    <row r="101" spans="1:27" s="86" customFormat="1" ht="13.5" customHeight="1" x14ac:dyDescent="0.15">
      <c r="A101" s="1191"/>
      <c r="B101" s="1188"/>
      <c r="C101" s="1130"/>
      <c r="D101" s="1130"/>
      <c r="E101" s="1130"/>
      <c r="F101" s="1131"/>
      <c r="G101" s="1129"/>
      <c r="H101" s="1130"/>
      <c r="I101" s="1131"/>
      <c r="J101" s="1129"/>
      <c r="K101" s="1130"/>
      <c r="L101" s="1131"/>
      <c r="M101" s="1208"/>
      <c r="N101" s="1209"/>
      <c r="O101" s="1210"/>
      <c r="P101" s="1208"/>
      <c r="Q101" s="1211"/>
      <c r="R101" s="1211"/>
    </row>
    <row r="102" spans="1:27" s="86" customFormat="1" ht="13.5" customHeight="1" x14ac:dyDescent="0.15">
      <c r="A102" s="1038" t="s">
        <v>176</v>
      </c>
      <c r="B102" s="1022" t="s">
        <v>75</v>
      </c>
      <c r="C102" s="1024"/>
      <c r="D102" s="1032"/>
      <c r="E102" s="1032"/>
      <c r="F102" s="1075"/>
      <c r="G102" s="1072"/>
      <c r="H102" s="1032"/>
      <c r="I102" s="1075"/>
      <c r="J102" s="1072"/>
      <c r="K102" s="1032"/>
      <c r="L102" s="1075"/>
      <c r="M102" s="1072"/>
      <c r="N102" s="1032"/>
      <c r="O102" s="1075"/>
      <c r="P102" s="1072"/>
      <c r="Q102" s="1066"/>
      <c r="R102" s="1066"/>
    </row>
    <row r="103" spans="1:27" s="78" customFormat="1" ht="17.25" customHeight="1" x14ac:dyDescent="0.2">
      <c r="A103" s="1021" t="s">
        <v>480</v>
      </c>
      <c r="B103" s="1029" t="s">
        <v>1252</v>
      </c>
      <c r="C103" s="1034" t="s">
        <v>309</v>
      </c>
      <c r="D103" s="1030">
        <v>25196</v>
      </c>
      <c r="E103" s="1030"/>
      <c r="F103" s="1084"/>
      <c r="G103" s="1076">
        <v>6804</v>
      </c>
      <c r="H103" s="1030"/>
      <c r="I103" s="1084"/>
      <c r="J103" s="1083">
        <f>D103+G103</f>
        <v>32000</v>
      </c>
      <c r="K103" s="1045"/>
      <c r="L103" s="1092"/>
      <c r="M103" s="1076"/>
      <c r="N103" s="1030"/>
      <c r="O103" s="1084"/>
      <c r="P103" s="1076">
        <f>J103</f>
        <v>32000</v>
      </c>
      <c r="Q103" s="1037"/>
      <c r="R103" s="1037"/>
    </row>
    <row r="104" spans="1:27" s="78" customFormat="1" ht="17.25" customHeight="1" x14ac:dyDescent="0.2">
      <c r="A104" s="1021" t="s">
        <v>488</v>
      </c>
      <c r="B104" s="1029" t="s">
        <v>1315</v>
      </c>
      <c r="C104" s="1034" t="s">
        <v>309</v>
      </c>
      <c r="D104" s="1030">
        <v>3937</v>
      </c>
      <c r="E104" s="1030"/>
      <c r="F104" s="1084"/>
      <c r="G104" s="1076">
        <v>1063</v>
      </c>
      <c r="H104" s="1030"/>
      <c r="I104" s="1084"/>
      <c r="J104" s="1083">
        <f>D104+G104</f>
        <v>5000</v>
      </c>
      <c r="K104" s="1045"/>
      <c r="L104" s="1092"/>
      <c r="M104" s="1076"/>
      <c r="N104" s="1030"/>
      <c r="O104" s="1084"/>
      <c r="P104" s="1076">
        <f>J104</f>
        <v>5000</v>
      </c>
      <c r="Q104" s="1037"/>
      <c r="R104" s="1037"/>
    </row>
    <row r="105" spans="1:27" s="78" customFormat="1" ht="17.25" customHeight="1" x14ac:dyDescent="0.2">
      <c r="A105" s="1021"/>
      <c r="B105" s="1029"/>
      <c r="C105" s="1034"/>
      <c r="D105" s="1030"/>
      <c r="E105" s="1030"/>
      <c r="F105" s="1084"/>
      <c r="G105" s="1076"/>
      <c r="H105" s="1030"/>
      <c r="I105" s="1084"/>
      <c r="J105" s="1083"/>
      <c r="K105" s="1045"/>
      <c r="L105" s="1092"/>
      <c r="M105" s="1076"/>
      <c r="N105" s="1030"/>
      <c r="O105" s="1084"/>
      <c r="P105" s="1076"/>
      <c r="Q105" s="1037"/>
      <c r="R105" s="1037"/>
    </row>
    <row r="106" spans="1:27" s="78" customFormat="1" ht="17.25" customHeight="1" x14ac:dyDescent="0.2">
      <c r="A106" s="1021"/>
      <c r="B106" s="1029"/>
      <c r="C106" s="1034"/>
      <c r="D106" s="1030"/>
      <c r="E106" s="1030"/>
      <c r="F106" s="1084"/>
      <c r="G106" s="1076"/>
      <c r="H106" s="1030"/>
      <c r="I106" s="1084"/>
      <c r="J106" s="1083"/>
      <c r="K106" s="1045"/>
      <c r="L106" s="1092"/>
      <c r="M106" s="1076"/>
      <c r="N106" s="1030"/>
      <c r="O106" s="1084"/>
      <c r="P106" s="1076"/>
      <c r="Q106" s="1037"/>
      <c r="R106" s="1037"/>
    </row>
    <row r="107" spans="1:27" s="78" customFormat="1" ht="10.5" customHeight="1" thickBot="1" x14ac:dyDescent="0.25">
      <c r="A107" s="1144"/>
      <c r="B107" s="1145"/>
      <c r="C107" s="1169"/>
      <c r="D107" s="1217"/>
      <c r="E107" s="1217"/>
      <c r="F107" s="1218"/>
      <c r="G107" s="1219"/>
      <c r="H107" s="1217"/>
      <c r="I107" s="1218"/>
      <c r="J107" s="1220"/>
      <c r="K107" s="1221"/>
      <c r="L107" s="1222"/>
      <c r="M107" s="1219"/>
      <c r="N107" s="1217"/>
      <c r="O107" s="1218"/>
      <c r="P107" s="1219"/>
      <c r="Q107" s="1187"/>
      <c r="R107" s="1187"/>
    </row>
    <row r="108" spans="1:27" s="78" customFormat="1" ht="21.75" customHeight="1" thickBot="1" x14ac:dyDescent="0.25">
      <c r="A108" s="1195"/>
      <c r="B108" s="1152" t="s">
        <v>74</v>
      </c>
      <c r="C108" s="1203"/>
      <c r="D108" s="1203">
        <f>SUM(D103:D104)</f>
        <v>29133</v>
      </c>
      <c r="E108" s="1203"/>
      <c r="F108" s="1204"/>
      <c r="G108" s="1205">
        <f t="shared" ref="G108:P108" si="10">SUM(G103:G104)</f>
        <v>7867</v>
      </c>
      <c r="H108" s="1203"/>
      <c r="I108" s="1204"/>
      <c r="J108" s="1205">
        <f t="shared" si="10"/>
        <v>37000</v>
      </c>
      <c r="K108" s="1203"/>
      <c r="L108" s="1204"/>
      <c r="M108" s="1205">
        <f t="shared" si="10"/>
        <v>0</v>
      </c>
      <c r="N108" s="1203"/>
      <c r="O108" s="1204"/>
      <c r="P108" s="1205">
        <f t="shared" si="10"/>
        <v>37000</v>
      </c>
      <c r="Q108" s="1142"/>
      <c r="R108" s="1190"/>
    </row>
    <row r="109" spans="1:27" s="78" customFormat="1" ht="13.5" customHeight="1" x14ac:dyDescent="0.2">
      <c r="A109" s="1191"/>
      <c r="B109" s="1223"/>
      <c r="C109" s="1126"/>
      <c r="D109" s="1126"/>
      <c r="E109" s="1126"/>
      <c r="F109" s="1127"/>
      <c r="G109" s="1128"/>
      <c r="H109" s="1126"/>
      <c r="I109" s="1127"/>
      <c r="J109" s="1128"/>
      <c r="K109" s="1126"/>
      <c r="L109" s="1127"/>
      <c r="M109" s="1192"/>
      <c r="N109" s="1193"/>
      <c r="O109" s="1194"/>
      <c r="P109" s="1192"/>
      <c r="Q109" s="1189"/>
      <c r="R109" s="1189"/>
    </row>
    <row r="110" spans="1:27" s="86" customFormat="1" ht="26.25" customHeight="1" x14ac:dyDescent="0.2">
      <c r="A110" s="1021"/>
      <c r="B110" s="1022" t="s">
        <v>951</v>
      </c>
      <c r="C110" s="1024"/>
      <c r="D110" s="1023"/>
      <c r="E110" s="1023"/>
      <c r="F110" s="1073"/>
      <c r="G110" s="1070"/>
      <c r="H110" s="1023"/>
      <c r="I110" s="1073"/>
      <c r="J110" s="1078"/>
      <c r="K110" s="1024"/>
      <c r="L110" s="1086"/>
      <c r="M110" s="1072"/>
      <c r="N110" s="1032"/>
      <c r="O110" s="1075"/>
      <c r="P110" s="1072"/>
      <c r="Q110" s="1066"/>
      <c r="R110" s="1066"/>
    </row>
    <row r="111" spans="1:27" s="86" customFormat="1" ht="21.75" customHeight="1" x14ac:dyDescent="0.15">
      <c r="A111" s="1021" t="s">
        <v>480</v>
      </c>
      <c r="B111" s="1068" t="s">
        <v>1164</v>
      </c>
      <c r="C111" s="1034" t="s">
        <v>307</v>
      </c>
      <c r="D111" s="1030">
        <v>958</v>
      </c>
      <c r="E111" s="1030"/>
      <c r="F111" s="1084"/>
      <c r="G111" s="1076">
        <v>258</v>
      </c>
      <c r="H111" s="1030"/>
      <c r="I111" s="1084"/>
      <c r="J111" s="1083">
        <f>SUM(D111:G111)</f>
        <v>1216</v>
      </c>
      <c r="K111" s="1045"/>
      <c r="L111" s="1092"/>
      <c r="M111" s="1083"/>
      <c r="N111" s="1045"/>
      <c r="O111" s="1092"/>
      <c r="P111" s="1076">
        <f>J111</f>
        <v>1216</v>
      </c>
      <c r="Q111" s="1066"/>
      <c r="R111" s="1066"/>
    </row>
    <row r="112" spans="1:27" s="86" customFormat="1" ht="21.75" customHeight="1" x14ac:dyDescent="0.15">
      <c r="A112" s="1021" t="s">
        <v>488</v>
      </c>
      <c r="B112" s="1068" t="s">
        <v>1316</v>
      </c>
      <c r="C112" s="1034" t="s">
        <v>307</v>
      </c>
      <c r="D112" s="1030">
        <v>1011</v>
      </c>
      <c r="E112" s="1030"/>
      <c r="F112" s="1084"/>
      <c r="G112" s="1076">
        <v>273</v>
      </c>
      <c r="H112" s="1030"/>
      <c r="I112" s="1084"/>
      <c r="J112" s="1083">
        <f>D112+G112</f>
        <v>1284</v>
      </c>
      <c r="K112" s="1045"/>
      <c r="L112" s="1092"/>
      <c r="M112" s="1083"/>
      <c r="N112" s="1045"/>
      <c r="O112" s="1092"/>
      <c r="P112" s="1076">
        <f>J112</f>
        <v>1284</v>
      </c>
      <c r="Q112" s="1066"/>
      <c r="R112" s="1066"/>
    </row>
    <row r="113" spans="1:18" s="86" customFormat="1" ht="21.75" customHeight="1" x14ac:dyDescent="0.15">
      <c r="A113" s="1021" t="s">
        <v>489</v>
      </c>
      <c r="B113" s="1068" t="s">
        <v>1317</v>
      </c>
      <c r="C113" s="1034" t="s">
        <v>307</v>
      </c>
      <c r="D113" s="1030">
        <v>1969</v>
      </c>
      <c r="E113" s="1030"/>
      <c r="F113" s="1084"/>
      <c r="G113" s="1076">
        <v>531</v>
      </c>
      <c r="H113" s="1030"/>
      <c r="I113" s="1084"/>
      <c r="J113" s="1083">
        <f>D113+G113</f>
        <v>2500</v>
      </c>
      <c r="K113" s="1045"/>
      <c r="L113" s="1092"/>
      <c r="M113" s="1083">
        <f>J113</f>
        <v>2500</v>
      </c>
      <c r="N113" s="1045"/>
      <c r="O113" s="1092"/>
      <c r="P113" s="1076"/>
      <c r="Q113" s="1066"/>
      <c r="R113" s="1066"/>
    </row>
    <row r="114" spans="1:18" s="86" customFormat="1" ht="21.75" customHeight="1" x14ac:dyDescent="0.15">
      <c r="A114" s="1021"/>
      <c r="B114" s="1068"/>
      <c r="C114" s="1034"/>
      <c r="D114" s="1030"/>
      <c r="E114" s="1030"/>
      <c r="F114" s="1084"/>
      <c r="G114" s="1076"/>
      <c r="H114" s="1030"/>
      <c r="I114" s="1084"/>
      <c r="J114" s="1083"/>
      <c r="K114" s="1045"/>
      <c r="L114" s="1092"/>
      <c r="M114" s="1083"/>
      <c r="N114" s="1045"/>
      <c r="O114" s="1092"/>
      <c r="P114" s="1076"/>
      <c r="Q114" s="1066"/>
      <c r="R114" s="1066"/>
    </row>
    <row r="115" spans="1:18" s="86" customFormat="1" ht="21.75" customHeight="1" x14ac:dyDescent="0.15">
      <c r="A115" s="1021"/>
      <c r="B115" s="1068"/>
      <c r="C115" s="1034"/>
      <c r="D115" s="1030"/>
      <c r="E115" s="1030"/>
      <c r="F115" s="1084"/>
      <c r="G115" s="1076"/>
      <c r="H115" s="1030"/>
      <c r="I115" s="1084"/>
      <c r="J115" s="1083"/>
      <c r="K115" s="1045"/>
      <c r="L115" s="1092"/>
      <c r="M115" s="1083"/>
      <c r="N115" s="1045"/>
      <c r="O115" s="1092"/>
      <c r="P115" s="1076"/>
      <c r="Q115" s="1066"/>
      <c r="R115" s="1066"/>
    </row>
    <row r="116" spans="1:18" s="86" customFormat="1" ht="12" customHeight="1" thickBot="1" x14ac:dyDescent="0.25">
      <c r="A116" s="1144"/>
      <c r="B116" s="1224"/>
      <c r="C116" s="1225"/>
      <c r="D116" s="1114"/>
      <c r="E116" s="1114"/>
      <c r="F116" s="1115"/>
      <c r="G116" s="1116"/>
      <c r="H116" s="1114"/>
      <c r="I116" s="1115"/>
      <c r="J116" s="1116"/>
      <c r="K116" s="1114"/>
      <c r="L116" s="1115"/>
      <c r="M116" s="1117"/>
      <c r="N116" s="1118"/>
      <c r="O116" s="1119"/>
      <c r="P116" s="1116"/>
      <c r="Q116" s="1207"/>
      <c r="R116" s="1207"/>
    </row>
    <row r="117" spans="1:18" s="86" customFormat="1" ht="21.75" customHeight="1" thickBot="1" x14ac:dyDescent="0.2">
      <c r="A117" s="1151"/>
      <c r="B117" s="1152" t="s">
        <v>950</v>
      </c>
      <c r="C117" s="1203"/>
      <c r="D117" s="1203">
        <f>SUM(D111:D116)</f>
        <v>3938</v>
      </c>
      <c r="E117" s="1203"/>
      <c r="F117" s="1204"/>
      <c r="G117" s="1205">
        <f>SUM(G111:G116)</f>
        <v>1062</v>
      </c>
      <c r="H117" s="1203"/>
      <c r="I117" s="1204"/>
      <c r="J117" s="1205">
        <f>SUM(J111:J116)</f>
        <v>5000</v>
      </c>
      <c r="K117" s="1203"/>
      <c r="L117" s="1204"/>
      <c r="M117" s="1205">
        <f>SUM(M111:M116)</f>
        <v>2500</v>
      </c>
      <c r="N117" s="1203"/>
      <c r="O117" s="1204"/>
      <c r="P117" s="1205">
        <f>SUM(P111:P116)</f>
        <v>2500</v>
      </c>
      <c r="Q117" s="1215"/>
      <c r="R117" s="1216"/>
    </row>
    <row r="118" spans="1:18" s="86" customFormat="1" ht="13.5" customHeight="1" x14ac:dyDescent="0.15">
      <c r="A118" s="1124"/>
      <c r="B118" s="1188"/>
      <c r="C118" s="1130"/>
      <c r="D118" s="1130"/>
      <c r="E118" s="1130"/>
      <c r="F118" s="1131"/>
      <c r="G118" s="1129"/>
      <c r="H118" s="1130"/>
      <c r="I118" s="1131"/>
      <c r="J118" s="1129"/>
      <c r="K118" s="1130"/>
      <c r="L118" s="1131"/>
      <c r="M118" s="1129"/>
      <c r="N118" s="1130"/>
      <c r="O118" s="1131"/>
      <c r="P118" s="1129"/>
      <c r="Q118" s="1211"/>
      <c r="R118" s="1211"/>
    </row>
    <row r="119" spans="1:18" s="86" customFormat="1" ht="13.5" customHeight="1" x14ac:dyDescent="0.15">
      <c r="A119" s="1038"/>
      <c r="B119" s="1022" t="s">
        <v>694</v>
      </c>
      <c r="C119" s="1024"/>
      <c r="D119" s="1024"/>
      <c r="E119" s="1024"/>
      <c r="F119" s="1086"/>
      <c r="G119" s="1078"/>
      <c r="H119" s="1024"/>
      <c r="I119" s="1086"/>
      <c r="J119" s="1078"/>
      <c r="K119" s="1024"/>
      <c r="L119" s="1086"/>
      <c r="M119" s="1078"/>
      <c r="N119" s="1024"/>
      <c r="O119" s="1086"/>
      <c r="P119" s="1078"/>
      <c r="Q119" s="1066"/>
      <c r="R119" s="1066"/>
    </row>
    <row r="120" spans="1:18" s="586" customFormat="1" ht="21.75" customHeight="1" x14ac:dyDescent="0.2">
      <c r="A120" s="1021" t="s">
        <v>480</v>
      </c>
      <c r="B120" s="1029" t="s">
        <v>1164</v>
      </c>
      <c r="C120" s="1034" t="s">
        <v>307</v>
      </c>
      <c r="D120" s="1030">
        <v>787</v>
      </c>
      <c r="E120" s="1030"/>
      <c r="F120" s="1084"/>
      <c r="G120" s="1076">
        <v>213</v>
      </c>
      <c r="H120" s="1030"/>
      <c r="I120" s="1084"/>
      <c r="J120" s="1083">
        <f>SUM(D120:G120)</f>
        <v>1000</v>
      </c>
      <c r="K120" s="1045"/>
      <c r="L120" s="1092"/>
      <c r="M120" s="1076">
        <v>0</v>
      </c>
      <c r="N120" s="1030"/>
      <c r="O120" s="1084"/>
      <c r="P120" s="1076">
        <f>J120</f>
        <v>1000</v>
      </c>
      <c r="Q120" s="1067"/>
      <c r="R120" s="1067"/>
    </row>
    <row r="121" spans="1:18" s="586" customFormat="1" ht="21.75" customHeight="1" x14ac:dyDescent="0.2">
      <c r="A121" s="1021"/>
      <c r="B121" s="1029"/>
      <c r="C121" s="1034"/>
      <c r="D121" s="1030"/>
      <c r="E121" s="1030"/>
      <c r="F121" s="1084"/>
      <c r="G121" s="1076"/>
      <c r="H121" s="1030"/>
      <c r="I121" s="1084"/>
      <c r="J121" s="1083"/>
      <c r="K121" s="1045"/>
      <c r="L121" s="1092"/>
      <c r="M121" s="1076"/>
      <c r="N121" s="1030"/>
      <c r="O121" s="1084"/>
      <c r="P121" s="1076"/>
      <c r="Q121" s="1067"/>
      <c r="R121" s="1067"/>
    </row>
    <row r="122" spans="1:18" s="586" customFormat="1" ht="21.75" customHeight="1" x14ac:dyDescent="0.2">
      <c r="A122" s="1021"/>
      <c r="B122" s="1029"/>
      <c r="C122" s="1034"/>
      <c r="D122" s="1030"/>
      <c r="E122" s="1030"/>
      <c r="F122" s="1084"/>
      <c r="G122" s="1076"/>
      <c r="H122" s="1030"/>
      <c r="I122" s="1084"/>
      <c r="J122" s="1083"/>
      <c r="K122" s="1045"/>
      <c r="L122" s="1092"/>
      <c r="M122" s="1076"/>
      <c r="N122" s="1030"/>
      <c r="O122" s="1084"/>
      <c r="P122" s="1076"/>
      <c r="Q122" s="1067"/>
      <c r="R122" s="1067"/>
    </row>
    <row r="123" spans="1:18" s="586" customFormat="1" ht="12.75" customHeight="1" thickBot="1" x14ac:dyDescent="0.25">
      <c r="A123" s="1144"/>
      <c r="B123" s="1145"/>
      <c r="C123" s="1169"/>
      <c r="D123" s="1169"/>
      <c r="E123" s="1169"/>
      <c r="F123" s="1170"/>
      <c r="G123" s="1171"/>
      <c r="H123" s="1169"/>
      <c r="I123" s="1170"/>
      <c r="J123" s="1172"/>
      <c r="K123" s="1173"/>
      <c r="L123" s="1174"/>
      <c r="M123" s="1171"/>
      <c r="N123" s="1169"/>
      <c r="O123" s="1170"/>
      <c r="P123" s="1171"/>
      <c r="Q123" s="1226"/>
      <c r="R123" s="1226"/>
    </row>
    <row r="124" spans="1:18" s="86" customFormat="1" ht="21.75" customHeight="1" thickBot="1" x14ac:dyDescent="0.2">
      <c r="A124" s="1151"/>
      <c r="B124" s="1152" t="s">
        <v>16</v>
      </c>
      <c r="C124" s="1203"/>
      <c r="D124" s="1203">
        <f>SUM(D120:D123)</f>
        <v>787</v>
      </c>
      <c r="E124" s="1203"/>
      <c r="F124" s="1204"/>
      <c r="G124" s="1205">
        <f>SUM(G120:G123)</f>
        <v>213</v>
      </c>
      <c r="H124" s="1203"/>
      <c r="I124" s="1204"/>
      <c r="J124" s="1205">
        <f>SUM(J120:J123)</f>
        <v>1000</v>
      </c>
      <c r="K124" s="1203"/>
      <c r="L124" s="1204"/>
      <c r="M124" s="1205">
        <f>SUM(M120:M123)</f>
        <v>0</v>
      </c>
      <c r="N124" s="1203"/>
      <c r="O124" s="1204"/>
      <c r="P124" s="1205">
        <f>SUM(P120:P123)</f>
        <v>1000</v>
      </c>
      <c r="Q124" s="1215"/>
      <c r="R124" s="1216"/>
    </row>
    <row r="125" spans="1:18" s="86" customFormat="1" ht="13.5" customHeight="1" x14ac:dyDescent="0.15">
      <c r="A125" s="1124"/>
      <c r="B125" s="1188"/>
      <c r="C125" s="1130"/>
      <c r="D125" s="1130"/>
      <c r="E125" s="1130"/>
      <c r="F125" s="1131"/>
      <c r="G125" s="1129"/>
      <c r="H125" s="1130"/>
      <c r="I125" s="1131"/>
      <c r="J125" s="1129"/>
      <c r="K125" s="1130"/>
      <c r="L125" s="1131"/>
      <c r="M125" s="1129"/>
      <c r="N125" s="1130"/>
      <c r="O125" s="1131"/>
      <c r="P125" s="1129"/>
      <c r="Q125" s="1211"/>
      <c r="R125" s="1211"/>
    </row>
    <row r="126" spans="1:18" s="86" customFormat="1" ht="13.5" customHeight="1" x14ac:dyDescent="0.15">
      <c r="A126" s="1038"/>
      <c r="B126" s="1022" t="s">
        <v>1138</v>
      </c>
      <c r="C126" s="1024"/>
      <c r="D126" s="1024"/>
      <c r="E126" s="1024"/>
      <c r="F126" s="1086"/>
      <c r="G126" s="1078"/>
      <c r="H126" s="1024"/>
      <c r="I126" s="1086"/>
      <c r="J126" s="1078"/>
      <c r="K126" s="1024"/>
      <c r="L126" s="1086"/>
      <c r="M126" s="1078"/>
      <c r="N126" s="1024"/>
      <c r="O126" s="1086"/>
      <c r="P126" s="1078"/>
      <c r="Q126" s="1066"/>
      <c r="R126" s="1066"/>
    </row>
    <row r="127" spans="1:18" s="586" customFormat="1" ht="21.75" customHeight="1" x14ac:dyDescent="0.2">
      <c r="A127" s="1021" t="s">
        <v>480</v>
      </c>
      <c r="B127" s="1029" t="s">
        <v>185</v>
      </c>
      <c r="C127" s="1034" t="s">
        <v>307</v>
      </c>
      <c r="D127" s="1030">
        <v>393</v>
      </c>
      <c r="E127" s="1030"/>
      <c r="F127" s="1084"/>
      <c r="G127" s="1076">
        <v>107</v>
      </c>
      <c r="H127" s="1030"/>
      <c r="I127" s="1084"/>
      <c r="J127" s="1083">
        <f>D127+G127</f>
        <v>500</v>
      </c>
      <c r="K127" s="1045"/>
      <c r="L127" s="1092"/>
      <c r="M127" s="1076">
        <f>J127</f>
        <v>500</v>
      </c>
      <c r="N127" s="1030"/>
      <c r="O127" s="1084"/>
      <c r="P127" s="1069"/>
      <c r="Q127" s="1067"/>
      <c r="R127" s="1067"/>
    </row>
    <row r="128" spans="1:18" s="586" customFormat="1" ht="21.75" customHeight="1" x14ac:dyDescent="0.2">
      <c r="A128" s="1021" t="s">
        <v>488</v>
      </c>
      <c r="B128" s="1029" t="s">
        <v>1165</v>
      </c>
      <c r="C128" s="1034" t="s">
        <v>307</v>
      </c>
      <c r="D128" s="1030">
        <v>1181</v>
      </c>
      <c r="E128" s="1030"/>
      <c r="F128" s="1084"/>
      <c r="G128" s="1076">
        <v>319</v>
      </c>
      <c r="H128" s="1030"/>
      <c r="I128" s="1084"/>
      <c r="J128" s="1083">
        <f>SUM(D128:G128)</f>
        <v>1500</v>
      </c>
      <c r="K128" s="1045"/>
      <c r="L128" s="1092"/>
      <c r="M128" s="1076">
        <f>J128</f>
        <v>1500</v>
      </c>
      <c r="N128" s="1030"/>
      <c r="O128" s="1084"/>
      <c r="P128" s="1069"/>
      <c r="Q128" s="1067"/>
      <c r="R128" s="1067"/>
    </row>
    <row r="129" spans="1:22" s="586" customFormat="1" ht="21.75" customHeight="1" x14ac:dyDescent="0.2">
      <c r="A129" s="1021"/>
      <c r="B129" s="1029"/>
      <c r="C129" s="1034"/>
      <c r="D129" s="1030"/>
      <c r="E129" s="1030"/>
      <c r="F129" s="1084"/>
      <c r="G129" s="1076"/>
      <c r="H129" s="1030"/>
      <c r="I129" s="1084"/>
      <c r="J129" s="1083"/>
      <c r="K129" s="1045"/>
      <c r="L129" s="1092"/>
      <c r="M129" s="1076"/>
      <c r="N129" s="1030"/>
      <c r="O129" s="1084"/>
      <c r="P129" s="1069"/>
      <c r="Q129" s="1067"/>
      <c r="R129" s="1067"/>
    </row>
    <row r="130" spans="1:22" s="586" customFormat="1" ht="21.75" customHeight="1" x14ac:dyDescent="0.2">
      <c r="A130" s="1021"/>
      <c r="B130" s="1029"/>
      <c r="C130" s="1034"/>
      <c r="D130" s="1030"/>
      <c r="E130" s="1030"/>
      <c r="F130" s="1084"/>
      <c r="G130" s="1076"/>
      <c r="H130" s="1030"/>
      <c r="I130" s="1084"/>
      <c r="J130" s="1083"/>
      <c r="K130" s="1045"/>
      <c r="L130" s="1092"/>
      <c r="M130" s="1076"/>
      <c r="N130" s="1030"/>
      <c r="O130" s="1084"/>
      <c r="P130" s="1069"/>
      <c r="Q130" s="1067"/>
      <c r="R130" s="1067"/>
    </row>
    <row r="131" spans="1:22" s="586" customFormat="1" ht="12" customHeight="1" thickBot="1" x14ac:dyDescent="0.25">
      <c r="A131" s="1144"/>
      <c r="B131" s="1145"/>
      <c r="C131" s="1169"/>
      <c r="D131" s="1169"/>
      <c r="E131" s="1169"/>
      <c r="F131" s="1170"/>
      <c r="G131" s="1171"/>
      <c r="H131" s="1169"/>
      <c r="I131" s="1170"/>
      <c r="J131" s="1172"/>
      <c r="K131" s="1173"/>
      <c r="L131" s="1174"/>
      <c r="M131" s="1171"/>
      <c r="N131" s="1169"/>
      <c r="O131" s="1170"/>
      <c r="P131" s="1172"/>
      <c r="Q131" s="1226"/>
      <c r="R131" s="1226"/>
    </row>
    <row r="132" spans="1:22" s="586" customFormat="1" ht="21.75" customHeight="1" thickBot="1" x14ac:dyDescent="0.25">
      <c r="A132" s="1151"/>
      <c r="B132" s="1152" t="s">
        <v>186</v>
      </c>
      <c r="C132" s="1203"/>
      <c r="D132" s="1203">
        <f>SUM(D127:D128)</f>
        <v>1574</v>
      </c>
      <c r="E132" s="1203"/>
      <c r="F132" s="1204"/>
      <c r="G132" s="1205">
        <f>SUM(G127:G128)</f>
        <v>426</v>
      </c>
      <c r="H132" s="1203"/>
      <c r="I132" s="1204"/>
      <c r="J132" s="1205">
        <f>SUM(J127:J128)</f>
        <v>2000</v>
      </c>
      <c r="K132" s="1203"/>
      <c r="L132" s="1204"/>
      <c r="M132" s="1205">
        <f>SUM(M127:M128)</f>
        <v>2000</v>
      </c>
      <c r="N132" s="1203"/>
      <c r="O132" s="1204"/>
      <c r="P132" s="1205"/>
      <c r="Q132" s="1227"/>
      <c r="R132" s="1228"/>
    </row>
    <row r="133" spans="1:22" s="86" customFormat="1" ht="13.5" customHeight="1" x14ac:dyDescent="0.2">
      <c r="A133" s="1191"/>
      <c r="B133" s="1223"/>
      <c r="C133" s="1126"/>
      <c r="D133" s="1126"/>
      <c r="E133" s="1126"/>
      <c r="F133" s="1127"/>
      <c r="G133" s="1128"/>
      <c r="H133" s="1126"/>
      <c r="I133" s="1127"/>
      <c r="J133" s="1129"/>
      <c r="K133" s="1130"/>
      <c r="L133" s="1131"/>
      <c r="M133" s="1208"/>
      <c r="N133" s="1209"/>
      <c r="O133" s="1210"/>
      <c r="P133" s="1208"/>
      <c r="Q133" s="1211"/>
      <c r="R133" s="1211"/>
      <c r="V133" s="418"/>
    </row>
    <row r="134" spans="1:22" s="86" customFormat="1" ht="13.5" customHeight="1" x14ac:dyDescent="0.15">
      <c r="A134" s="1038" t="s">
        <v>511</v>
      </c>
      <c r="B134" s="1022" t="s">
        <v>512</v>
      </c>
      <c r="C134" s="1024"/>
      <c r="D134" s="1024"/>
      <c r="E134" s="1024"/>
      <c r="F134" s="1086"/>
      <c r="G134" s="1078"/>
      <c r="H134" s="1024"/>
      <c r="I134" s="1086"/>
      <c r="J134" s="1078"/>
      <c r="K134" s="1024"/>
      <c r="L134" s="1086"/>
      <c r="M134" s="1072"/>
      <c r="N134" s="1032"/>
      <c r="O134" s="1075"/>
      <c r="P134" s="1072"/>
      <c r="Q134" s="1066"/>
      <c r="R134" s="1066"/>
    </row>
    <row r="135" spans="1:22" s="86" customFormat="1" ht="11.25" customHeight="1" thickBot="1" x14ac:dyDescent="0.25">
      <c r="A135" s="1144"/>
      <c r="B135" s="1145"/>
      <c r="C135" s="1121"/>
      <c r="D135" s="1121"/>
      <c r="E135" s="1121"/>
      <c r="F135" s="1122"/>
      <c r="G135" s="1120"/>
      <c r="H135" s="1121"/>
      <c r="I135" s="1122"/>
      <c r="J135" s="1184"/>
      <c r="K135" s="1185"/>
      <c r="L135" s="1186"/>
      <c r="M135" s="1116"/>
      <c r="N135" s="1114"/>
      <c r="O135" s="1115"/>
      <c r="P135" s="1229"/>
      <c r="Q135" s="1207"/>
      <c r="R135" s="1207"/>
    </row>
    <row r="136" spans="1:22" s="86" customFormat="1" ht="21.75" customHeight="1" thickBot="1" x14ac:dyDescent="0.25">
      <c r="A136" s="1195"/>
      <c r="B136" s="1152" t="s">
        <v>513</v>
      </c>
      <c r="C136" s="1230"/>
      <c r="D136" s="1138">
        <f>D134</f>
        <v>0</v>
      </c>
      <c r="E136" s="1138"/>
      <c r="F136" s="1179"/>
      <c r="G136" s="569">
        <f t="shared" ref="G136:M136" si="11">G134</f>
        <v>0</v>
      </c>
      <c r="H136" s="1138"/>
      <c r="I136" s="1179"/>
      <c r="J136" s="569">
        <f t="shared" si="11"/>
        <v>0</v>
      </c>
      <c r="K136" s="1138"/>
      <c r="L136" s="1179"/>
      <c r="M136" s="569">
        <f t="shared" si="11"/>
        <v>0</v>
      </c>
      <c r="N136" s="1138"/>
      <c r="O136" s="1179"/>
      <c r="P136" s="569"/>
      <c r="Q136" s="1215"/>
      <c r="R136" s="1216"/>
    </row>
    <row r="137" spans="1:22" s="78" customFormat="1" ht="13.5" customHeight="1" thickBot="1" x14ac:dyDescent="0.25">
      <c r="A137" s="1231"/>
      <c r="B137" s="1232"/>
      <c r="C137" s="1233"/>
      <c r="D137" s="1233"/>
      <c r="E137" s="1233"/>
      <c r="F137" s="1234"/>
      <c r="G137" s="734"/>
      <c r="H137" s="1233"/>
      <c r="I137" s="1234"/>
      <c r="J137" s="1235"/>
      <c r="K137" s="1236"/>
      <c r="L137" s="1237"/>
      <c r="M137" s="1238"/>
      <c r="N137" s="1239"/>
      <c r="O137" s="1240"/>
      <c r="P137" s="1238"/>
      <c r="Q137" s="1241"/>
      <c r="R137" s="1241"/>
    </row>
    <row r="138" spans="1:22" s="86" customFormat="1" ht="20.25" customHeight="1" thickBot="1" x14ac:dyDescent="0.2">
      <c r="A138" s="1195"/>
      <c r="B138" s="1152" t="s">
        <v>514</v>
      </c>
      <c r="C138" s="1203"/>
      <c r="D138" s="1203">
        <f>D18+D24+D49+D58+D63+D69+D75+D85+D90+D100+D108+D117+D124+D136+D132</f>
        <v>1007763</v>
      </c>
      <c r="E138" s="1203"/>
      <c r="F138" s="1204"/>
      <c r="G138" s="1205">
        <f>G18+G24+G49+G58+G63+G69+G75+G85+G90+G100+G108+G117+G124+G136+G132</f>
        <v>192816</v>
      </c>
      <c r="H138" s="1203"/>
      <c r="I138" s="1204"/>
      <c r="J138" s="1205">
        <f>J18+J24+J49+J58+J63+J69+J75+J85+J90+J100+J108+J117+J124+J136+J132</f>
        <v>1200579</v>
      </c>
      <c r="K138" s="1203"/>
      <c r="L138" s="1204"/>
      <c r="M138" s="1205">
        <f>M18+M24+M49+M58+M63+M69+M75+M85+M90+M100+M108+M117+M124+M136+M132</f>
        <v>972244</v>
      </c>
      <c r="N138" s="1203"/>
      <c r="O138" s="1204"/>
      <c r="P138" s="1205">
        <f>P18+P24+P49+P58+P63+P69+P75+P85+P90+P100+P108+P117+P124+P136+P132</f>
        <v>228335</v>
      </c>
      <c r="Q138" s="1215"/>
      <c r="R138" s="1216"/>
    </row>
    <row r="139" spans="1:22" ht="14.1" customHeight="1" x14ac:dyDescent="0.2">
      <c r="I139" s="1242"/>
      <c r="J139" s="1243"/>
    </row>
    <row r="141" spans="1:22" ht="14.1" customHeight="1" x14ac:dyDescent="0.2">
      <c r="G141" s="87"/>
      <c r="H141" s="87"/>
      <c r="I141" s="87"/>
      <c r="J141" s="88"/>
      <c r="K141" s="88"/>
      <c r="L141" s="88"/>
    </row>
    <row r="144" spans="1:22" ht="14.1" customHeight="1" thickBot="1" x14ac:dyDescent="0.25"/>
    <row r="145" spans="6:6" ht="14.1" customHeight="1" thickBot="1" x14ac:dyDescent="0.25">
      <c r="F145" s="1110"/>
    </row>
  </sheetData>
  <sheetProtection selectLockedCells="1" selectUnlockedCells="1"/>
  <mergeCells count="29">
    <mergeCell ref="A1:P1"/>
    <mergeCell ref="A2:P2"/>
    <mergeCell ref="A4:P4"/>
    <mergeCell ref="A5:A9"/>
    <mergeCell ref="B8:B9"/>
    <mergeCell ref="C8:C9"/>
    <mergeCell ref="M8:M9"/>
    <mergeCell ref="P8:P9"/>
    <mergeCell ref="B3:P3"/>
    <mergeCell ref="D7:J7"/>
    <mergeCell ref="G8:G9"/>
    <mergeCell ref="J8:J9"/>
    <mergeCell ref="D8:D9"/>
    <mergeCell ref="E8:E9"/>
    <mergeCell ref="F8:F9"/>
    <mergeCell ref="D5:F5"/>
    <mergeCell ref="R8:R9"/>
    <mergeCell ref="M7:R7"/>
    <mergeCell ref="M5:O5"/>
    <mergeCell ref="P5:R5"/>
    <mergeCell ref="H8:H9"/>
    <mergeCell ref="I8:I9"/>
    <mergeCell ref="K8:K9"/>
    <mergeCell ref="L8:L9"/>
    <mergeCell ref="N8:N9"/>
    <mergeCell ref="J5:L5"/>
    <mergeCell ref="G5:I5"/>
    <mergeCell ref="O8:O9"/>
    <mergeCell ref="Q8:Q9"/>
  </mergeCells>
  <phoneticPr fontId="33" type="noConversion"/>
  <pageMargins left="0" right="0" top="0.39370078740157483" bottom="0.39370078740157483" header="0.51181102362204722" footer="0.51181102362204722"/>
  <pageSetup paperSize="8" scale="79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O39"/>
  <sheetViews>
    <sheetView workbookViewId="0">
      <selection activeCell="F10" sqref="F10:J11"/>
    </sheetView>
  </sheetViews>
  <sheetFormatPr defaultColWidth="9.140625" defaultRowHeight="15.75" x14ac:dyDescent="0.25"/>
  <cols>
    <col min="1" max="1" width="6" style="14" customWidth="1"/>
    <col min="2" max="2" width="52" style="15" customWidth="1"/>
    <col min="3" max="3" width="16.85546875" style="34" customWidth="1"/>
    <col min="4" max="4" width="14" style="34" customWidth="1"/>
    <col min="5" max="5" width="20.42578125" style="15" customWidth="1"/>
    <col min="6" max="16384" width="9.140625" style="15"/>
  </cols>
  <sheetData>
    <row r="1" spans="1:10" x14ac:dyDescent="0.25">
      <c r="B1" s="16"/>
      <c r="C1" s="22"/>
    </row>
    <row r="2" spans="1:10" x14ac:dyDescent="0.25">
      <c r="A2" s="1535" t="s">
        <v>1333</v>
      </c>
      <c r="B2" s="1535"/>
      <c r="C2" s="1535"/>
      <c r="D2" s="1535"/>
      <c r="E2" s="1535"/>
    </row>
    <row r="3" spans="1:10" x14ac:dyDescent="0.25">
      <c r="B3" s="17"/>
      <c r="C3" s="229"/>
    </row>
    <row r="4" spans="1:10" ht="15" customHeight="1" x14ac:dyDescent="0.25">
      <c r="A4" s="1536" t="s">
        <v>77</v>
      </c>
      <c r="B4" s="1536"/>
      <c r="C4" s="1536"/>
      <c r="D4" s="1536"/>
      <c r="E4" s="1536"/>
    </row>
    <row r="5" spans="1:10" ht="15" customHeight="1" x14ac:dyDescent="0.25">
      <c r="A5" s="1537" t="s">
        <v>1182</v>
      </c>
      <c r="B5" s="1537"/>
      <c r="C5" s="1537"/>
      <c r="D5" s="1537"/>
      <c r="E5" s="1537"/>
    </row>
    <row r="6" spans="1:10" ht="15" customHeight="1" x14ac:dyDescent="0.25">
      <c r="A6" s="1537" t="s">
        <v>520</v>
      </c>
      <c r="B6" s="1537"/>
      <c r="C6" s="1537"/>
      <c r="D6" s="1537"/>
      <c r="E6" s="1537"/>
    </row>
    <row r="7" spans="1:10" ht="15" customHeight="1" x14ac:dyDescent="0.25">
      <c r="B7" s="1537"/>
      <c r="C7" s="1537"/>
    </row>
    <row r="8" spans="1:10" s="18" customFormat="1" ht="20.100000000000001" customHeight="1" x14ac:dyDescent="0.25">
      <c r="A8" s="1538" t="s">
        <v>303</v>
      </c>
      <c r="B8" s="1539"/>
      <c r="C8" s="1539"/>
      <c r="D8" s="1539"/>
      <c r="E8" s="1539"/>
    </row>
    <row r="9" spans="1:10" s="18" customFormat="1" ht="20.100000000000001" customHeight="1" x14ac:dyDescent="0.25">
      <c r="A9" s="1542" t="s">
        <v>76</v>
      </c>
      <c r="B9" s="342" t="s">
        <v>57</v>
      </c>
      <c r="C9" s="1541" t="s">
        <v>58</v>
      </c>
      <c r="D9" s="1541"/>
      <c r="E9" s="1541"/>
    </row>
    <row r="10" spans="1:10" ht="46.5" customHeight="1" x14ac:dyDescent="0.25">
      <c r="A10" s="1542"/>
      <c r="B10" s="1533" t="s">
        <v>85</v>
      </c>
      <c r="C10" s="1540" t="s">
        <v>1226</v>
      </c>
      <c r="D10" s="1540"/>
      <c r="E10" s="1540"/>
      <c r="F10" s="1413" t="s">
        <v>1337</v>
      </c>
      <c r="G10" s="1413"/>
      <c r="H10" s="1413" t="s">
        <v>1338</v>
      </c>
      <c r="I10" s="1413"/>
      <c r="J10" s="1413"/>
    </row>
    <row r="11" spans="1:10" ht="20.100000000000001" customHeight="1" x14ac:dyDescent="0.25">
      <c r="A11" s="1543"/>
      <c r="B11" s="1534"/>
      <c r="C11" s="974" t="s">
        <v>177</v>
      </c>
      <c r="D11" s="975" t="s">
        <v>178</v>
      </c>
      <c r="E11" s="976" t="s">
        <v>179</v>
      </c>
      <c r="F11" s="740" t="s">
        <v>62</v>
      </c>
      <c r="G11" s="740" t="s">
        <v>63</v>
      </c>
      <c r="H11" s="740" t="s">
        <v>62</v>
      </c>
      <c r="I11" s="740" t="s">
        <v>63</v>
      </c>
      <c r="J11" s="740" t="s">
        <v>64</v>
      </c>
    </row>
    <row r="12" spans="1:10" ht="20.100000000000001" customHeight="1" x14ac:dyDescent="0.25">
      <c r="A12" s="977" t="s">
        <v>480</v>
      </c>
      <c r="B12" s="978" t="s">
        <v>521</v>
      </c>
      <c r="C12" s="979"/>
      <c r="D12" s="980"/>
      <c r="E12" s="981"/>
      <c r="F12" s="981"/>
      <c r="G12" s="981"/>
      <c r="H12" s="981"/>
      <c r="I12" s="981"/>
      <c r="J12" s="981"/>
    </row>
    <row r="13" spans="1:10" ht="20.100000000000001" customHeight="1" x14ac:dyDescent="0.25">
      <c r="A13" s="977" t="s">
        <v>488</v>
      </c>
      <c r="B13" s="982" t="s">
        <v>633</v>
      </c>
      <c r="C13" s="979"/>
      <c r="D13" s="980"/>
      <c r="E13" s="981"/>
      <c r="F13" s="981"/>
      <c r="G13" s="981"/>
      <c r="H13" s="981"/>
      <c r="I13" s="981"/>
      <c r="J13" s="981"/>
    </row>
    <row r="14" spans="1:10" ht="24.6" customHeight="1" x14ac:dyDescent="0.25">
      <c r="A14" s="977" t="s">
        <v>489</v>
      </c>
      <c r="B14" s="983" t="s">
        <v>642</v>
      </c>
      <c r="C14" s="984">
        <v>0</v>
      </c>
      <c r="D14" s="984">
        <v>2991</v>
      </c>
      <c r="E14" s="985">
        <f t="shared" ref="E14:E17" si="0">C14+D14</f>
        <v>2991</v>
      </c>
      <c r="F14" s="981"/>
      <c r="G14" s="981"/>
      <c r="H14" s="981"/>
      <c r="I14" s="981"/>
      <c r="J14" s="981"/>
    </row>
    <row r="15" spans="1:10" ht="36" customHeight="1" x14ac:dyDescent="0.25">
      <c r="A15" s="977" t="s">
        <v>490</v>
      </c>
      <c r="B15" s="986" t="s">
        <v>1109</v>
      </c>
      <c r="C15" s="987">
        <v>0</v>
      </c>
      <c r="D15" s="984">
        <v>78232</v>
      </c>
      <c r="E15" s="985">
        <f t="shared" si="0"/>
        <v>78232</v>
      </c>
      <c r="F15" s="981"/>
      <c r="G15" s="981"/>
      <c r="H15" s="981"/>
      <c r="I15" s="981"/>
      <c r="J15" s="981"/>
    </row>
    <row r="16" spans="1:10" ht="24" customHeight="1" x14ac:dyDescent="0.25">
      <c r="A16" s="977" t="s">
        <v>491</v>
      </c>
      <c r="B16" s="983" t="s">
        <v>1108</v>
      </c>
      <c r="C16" s="984">
        <v>0</v>
      </c>
      <c r="D16" s="984">
        <v>0</v>
      </c>
      <c r="E16" s="985">
        <f t="shared" si="0"/>
        <v>0</v>
      </c>
      <c r="F16" s="981"/>
      <c r="G16" s="981"/>
      <c r="H16" s="981"/>
      <c r="I16" s="981"/>
      <c r="J16" s="981"/>
    </row>
    <row r="17" spans="1:15" ht="31.5" customHeight="1" thickBot="1" x14ac:dyDescent="0.3">
      <c r="A17" s="977" t="s">
        <v>492</v>
      </c>
      <c r="B17" s="995" t="s">
        <v>1189</v>
      </c>
      <c r="C17" s="996">
        <v>27422</v>
      </c>
      <c r="D17" s="996"/>
      <c r="E17" s="997">
        <f t="shared" si="0"/>
        <v>27422</v>
      </c>
      <c r="F17" s="998"/>
      <c r="G17" s="998"/>
      <c r="H17" s="998"/>
      <c r="I17" s="998"/>
      <c r="J17" s="998"/>
    </row>
    <row r="18" spans="1:15" s="14" customFormat="1" ht="19.5" customHeight="1" thickBot="1" x14ac:dyDescent="0.3">
      <c r="A18" s="994" t="s">
        <v>493</v>
      </c>
      <c r="B18" s="1004" t="s">
        <v>49</v>
      </c>
      <c r="C18" s="723">
        <f>SUM(C14:C17)</f>
        <v>27422</v>
      </c>
      <c r="D18" s="723">
        <f>SUM(D14:D17)</f>
        <v>81223</v>
      </c>
      <c r="E18" s="723">
        <f>SUM(E14:E17)</f>
        <v>108645</v>
      </c>
      <c r="F18" s="1005"/>
      <c r="G18" s="1005"/>
      <c r="H18" s="1005"/>
      <c r="I18" s="1005"/>
      <c r="J18" s="1006"/>
    </row>
    <row r="19" spans="1:15" s="14" customFormat="1" ht="20.25" customHeight="1" x14ac:dyDescent="0.25">
      <c r="A19" s="977" t="s">
        <v>494</v>
      </c>
      <c r="B19" s="999"/>
      <c r="C19" s="1000"/>
      <c r="D19" s="1001"/>
      <c r="E19" s="1002"/>
      <c r="F19" s="1003"/>
      <c r="G19" s="1003"/>
      <c r="H19" s="1003"/>
      <c r="I19" s="1003"/>
      <c r="J19" s="1003"/>
    </row>
    <row r="20" spans="1:15" ht="19.5" customHeight="1" x14ac:dyDescent="0.25">
      <c r="A20" s="977" t="s">
        <v>495</v>
      </c>
      <c r="B20" s="988" t="s">
        <v>634</v>
      </c>
      <c r="C20" s="987"/>
      <c r="D20" s="989"/>
      <c r="E20" s="990"/>
      <c r="F20" s="981"/>
      <c r="G20" s="981"/>
      <c r="H20" s="981"/>
      <c r="I20" s="981"/>
      <c r="J20" s="981"/>
    </row>
    <row r="21" spans="1:15" ht="21" customHeight="1" x14ac:dyDescent="0.25">
      <c r="A21" s="977" t="s">
        <v>531</v>
      </c>
      <c r="B21" s="991" t="s">
        <v>522</v>
      </c>
      <c r="C21" s="987"/>
      <c r="D21" s="987">
        <v>30000</v>
      </c>
      <c r="E21" s="985">
        <f>C21+D21</f>
        <v>30000</v>
      </c>
      <c r="F21" s="981"/>
      <c r="G21" s="981"/>
      <c r="H21" s="981"/>
      <c r="I21" s="981"/>
      <c r="J21" s="981"/>
    </row>
    <row r="22" spans="1:15" ht="21.75" customHeight="1" x14ac:dyDescent="0.25">
      <c r="A22" s="977" t="s">
        <v>532</v>
      </c>
      <c r="B22" s="992" t="s">
        <v>523</v>
      </c>
      <c r="C22" s="987"/>
      <c r="D22" s="987">
        <v>5000</v>
      </c>
      <c r="E22" s="985">
        <f>C22+D22</f>
        <v>5000</v>
      </c>
      <c r="F22" s="981"/>
      <c r="G22" s="981"/>
      <c r="H22" s="981"/>
      <c r="I22" s="981"/>
      <c r="J22" s="981"/>
    </row>
    <row r="23" spans="1:15" ht="41.25" customHeight="1" thickBot="1" x14ac:dyDescent="0.3">
      <c r="A23" s="977" t="s">
        <v>533</v>
      </c>
      <c r="B23" s="1007" t="s">
        <v>973</v>
      </c>
      <c r="C23" s="1008"/>
      <c r="D23" s="1009">
        <v>0</v>
      </c>
      <c r="E23" s="1010">
        <f>C23+D23</f>
        <v>0</v>
      </c>
      <c r="F23" s="998"/>
      <c r="G23" s="998"/>
      <c r="H23" s="998"/>
      <c r="I23" s="998"/>
      <c r="J23" s="998"/>
    </row>
    <row r="24" spans="1:15" s="14" customFormat="1" ht="21" customHeight="1" thickBot="1" x14ac:dyDescent="0.3">
      <c r="A24" s="994" t="s">
        <v>534</v>
      </c>
      <c r="B24" s="1004" t="s">
        <v>635</v>
      </c>
      <c r="C24" s="723">
        <f>SUM(C21:C22)</f>
        <v>0</v>
      </c>
      <c r="D24" s="723">
        <f>SUM(D21:D23)</f>
        <v>35000</v>
      </c>
      <c r="E24" s="1011">
        <f>C24+D24</f>
        <v>35000</v>
      </c>
      <c r="F24" s="1005"/>
      <c r="G24" s="1005"/>
      <c r="H24" s="1005"/>
      <c r="I24" s="1005"/>
      <c r="J24" s="1006"/>
    </row>
    <row r="25" spans="1:15" s="14" customFormat="1" ht="22.5" customHeight="1" thickBot="1" x14ac:dyDescent="0.3">
      <c r="A25" s="994" t="s">
        <v>535</v>
      </c>
      <c r="B25" s="1016" t="s">
        <v>524</v>
      </c>
      <c r="C25" s="1011">
        <f>C18+C24</f>
        <v>27422</v>
      </c>
      <c r="D25" s="1011">
        <f>D18+D24</f>
        <v>116223</v>
      </c>
      <c r="E25" s="1011">
        <f>C25+D25</f>
        <v>143645</v>
      </c>
      <c r="F25" s="1005"/>
      <c r="G25" s="1005"/>
      <c r="H25" s="1005"/>
      <c r="I25" s="1005"/>
      <c r="J25" s="1006"/>
    </row>
    <row r="26" spans="1:15" ht="20.100000000000001" customHeight="1" x14ac:dyDescent="0.25">
      <c r="A26" s="977" t="s">
        <v>536</v>
      </c>
      <c r="B26" s="1012"/>
      <c r="C26" s="1013"/>
      <c r="D26" s="1013"/>
      <c r="E26" s="1014"/>
      <c r="F26" s="1015"/>
      <c r="G26" s="1015"/>
      <c r="H26" s="1015"/>
      <c r="I26" s="1015"/>
      <c r="J26" s="1015"/>
    </row>
    <row r="27" spans="1:15" ht="20.100000000000001" customHeight="1" x14ac:dyDescent="0.25">
      <c r="A27" s="977" t="s">
        <v>537</v>
      </c>
      <c r="B27" s="978" t="s">
        <v>525</v>
      </c>
      <c r="C27" s="984"/>
      <c r="D27" s="984"/>
      <c r="E27" s="990"/>
      <c r="F27" s="981"/>
      <c r="G27" s="981"/>
      <c r="H27" s="981"/>
      <c r="I27" s="981"/>
      <c r="J27" s="981"/>
    </row>
    <row r="28" spans="1:15" ht="20.100000000000001" customHeight="1" x14ac:dyDescent="0.25">
      <c r="A28" s="977" t="s">
        <v>538</v>
      </c>
      <c r="B28" s="991" t="s">
        <v>526</v>
      </c>
      <c r="C28" s="984">
        <v>61548</v>
      </c>
      <c r="D28" s="984">
        <v>9169</v>
      </c>
      <c r="E28" s="985">
        <f>C28+D28</f>
        <v>70717</v>
      </c>
      <c r="F28" s="981"/>
      <c r="G28" s="981"/>
      <c r="H28" s="981"/>
      <c r="I28" s="981"/>
      <c r="J28" s="981"/>
    </row>
    <row r="29" spans="1:15" ht="20.100000000000001" customHeight="1" x14ac:dyDescent="0.25">
      <c r="A29" s="977" t="s">
        <v>540</v>
      </c>
      <c r="B29" s="993" t="s">
        <v>187</v>
      </c>
      <c r="C29" s="984"/>
      <c r="D29" s="984"/>
      <c r="E29" s="985"/>
      <c r="F29" s="981"/>
      <c r="G29" s="981"/>
      <c r="H29" s="981"/>
      <c r="I29" s="981"/>
      <c r="J29" s="981"/>
    </row>
    <row r="30" spans="1:15" ht="32.25" customHeight="1" x14ac:dyDescent="0.25">
      <c r="A30" s="977" t="s">
        <v>541</v>
      </c>
      <c r="B30" s="983" t="s">
        <v>1110</v>
      </c>
      <c r="C30" s="984">
        <v>0</v>
      </c>
      <c r="D30" s="984">
        <v>1838</v>
      </c>
      <c r="E30" s="985">
        <f>SUM(C30:D30)</f>
        <v>1838</v>
      </c>
      <c r="F30" s="981"/>
      <c r="G30" s="981"/>
      <c r="H30" s="981"/>
      <c r="I30" s="981"/>
      <c r="J30" s="981"/>
    </row>
    <row r="31" spans="1:15" ht="32.25" customHeight="1" thickBot="1" x14ac:dyDescent="0.3">
      <c r="A31" s="977" t="s">
        <v>542</v>
      </c>
      <c r="B31" s="1017" t="s">
        <v>1111</v>
      </c>
      <c r="C31" s="996">
        <v>2223</v>
      </c>
      <c r="D31" s="996"/>
      <c r="E31" s="997">
        <f>SUM(C31:D31)</f>
        <v>2223</v>
      </c>
      <c r="F31" s="998"/>
      <c r="G31" s="998"/>
      <c r="H31" s="998"/>
      <c r="I31" s="998"/>
      <c r="J31" s="998"/>
    </row>
    <row r="32" spans="1:15" s="14" customFormat="1" ht="20.100000000000001" customHeight="1" thickBot="1" x14ac:dyDescent="0.3">
      <c r="A32" s="994" t="s">
        <v>543</v>
      </c>
      <c r="B32" s="1018" t="s">
        <v>527</v>
      </c>
      <c r="C32" s="1011">
        <f>C28+C30+C31</f>
        <v>63771</v>
      </c>
      <c r="D32" s="1011">
        <f t="shared" ref="D32:E32" si="1">D28+D30+D31</f>
        <v>11007</v>
      </c>
      <c r="E32" s="1011">
        <f t="shared" si="1"/>
        <v>74778</v>
      </c>
      <c r="F32" s="1005"/>
      <c r="G32" s="1005"/>
      <c r="H32" s="1005"/>
      <c r="I32" s="1005"/>
      <c r="J32" s="1006"/>
      <c r="O32" s="674"/>
    </row>
    <row r="33" spans="1:15" s="14" customFormat="1" ht="20.100000000000001" customHeight="1" thickBot="1" x14ac:dyDescent="0.3">
      <c r="A33" s="994" t="s">
        <v>544</v>
      </c>
      <c r="B33" s="1018" t="s">
        <v>304</v>
      </c>
      <c r="C33" s="1011">
        <f>C25+C32</f>
        <v>91193</v>
      </c>
      <c r="D33" s="1011">
        <f>D25+D32</f>
        <v>127230</v>
      </c>
      <c r="E33" s="1011">
        <f>E25+E32</f>
        <v>218423</v>
      </c>
      <c r="F33" s="1005"/>
      <c r="G33" s="1005"/>
      <c r="H33" s="1005"/>
      <c r="I33" s="1005"/>
      <c r="J33" s="1006"/>
      <c r="O33" s="674"/>
    </row>
    <row r="34" spans="1:15" s="14" customFormat="1" ht="20.100000000000001" customHeight="1" x14ac:dyDescent="0.25">
      <c r="A34" s="15"/>
      <c r="B34" s="24"/>
      <c r="C34" s="23"/>
      <c r="D34" s="247"/>
    </row>
    <row r="35" spans="1:15" ht="19.5" customHeight="1" x14ac:dyDescent="0.25">
      <c r="B35" s="25"/>
      <c r="C35" s="22"/>
    </row>
    <row r="36" spans="1:15" ht="15" customHeight="1" x14ac:dyDescent="0.25">
      <c r="B36" s="16"/>
      <c r="C36" s="22"/>
      <c r="H36" s="352"/>
    </row>
    <row r="37" spans="1:15" x14ac:dyDescent="0.25">
      <c r="B37" s="16"/>
      <c r="C37" s="22"/>
    </row>
    <row r="38" spans="1:15" x14ac:dyDescent="0.25">
      <c r="B38" s="16"/>
      <c r="C38" s="22"/>
    </row>
    <row r="39" spans="1:15" x14ac:dyDescent="0.25">
      <c r="B39" s="16"/>
      <c r="C39" s="22"/>
    </row>
  </sheetData>
  <sheetProtection selectLockedCells="1" selectUnlockedCells="1"/>
  <mergeCells count="12">
    <mergeCell ref="F10:G10"/>
    <mergeCell ref="H10:J10"/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56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62"/>
  <sheetViews>
    <sheetView zoomScale="120" workbookViewId="0">
      <selection activeCell="B1" sqref="B1:S1"/>
    </sheetView>
  </sheetViews>
  <sheetFormatPr defaultColWidth="9.140625" defaultRowHeight="11.25" x14ac:dyDescent="0.2"/>
  <cols>
    <col min="1" max="1" width="3.7109375" style="113" customWidth="1"/>
    <col min="2" max="2" width="37.28515625" style="113" customWidth="1"/>
    <col min="3" max="4" width="11.140625" style="114" customWidth="1"/>
    <col min="5" max="5" width="11.28515625" style="114" customWidth="1"/>
    <col min="6" max="7" width="11" style="114" customWidth="1"/>
    <col min="8" max="9" width="11.28515625" style="114" customWidth="1"/>
    <col min="10" max="10" width="11" style="114" customWidth="1"/>
    <col min="11" max="11" width="40.42578125" style="114" customWidth="1"/>
    <col min="12" max="12" width="11.5703125" style="114" customWidth="1"/>
    <col min="13" max="13" width="11.140625" style="114" customWidth="1"/>
    <col min="14" max="14" width="11" style="114" customWidth="1"/>
    <col min="15" max="15" width="11.28515625" style="9" customWidth="1"/>
    <col min="16" max="16" width="11" style="9" customWidth="1"/>
    <col min="17" max="17" width="11.140625" style="9" customWidth="1"/>
    <col min="18" max="18" width="11" style="9" customWidth="1"/>
    <col min="19" max="19" width="11.28515625" style="9" customWidth="1"/>
    <col min="20" max="16384" width="9.140625" style="9"/>
  </cols>
  <sheetData>
    <row r="1" spans="1:19" ht="12.75" customHeight="1" x14ac:dyDescent="0.2">
      <c r="B1" s="1409" t="s">
        <v>1347</v>
      </c>
      <c r="C1" s="1409"/>
      <c r="D1" s="1409"/>
      <c r="E1" s="1409"/>
      <c r="F1" s="1409"/>
      <c r="G1" s="1409"/>
      <c r="H1" s="1409"/>
      <c r="I1" s="1409"/>
      <c r="J1" s="1409"/>
      <c r="K1" s="1409"/>
      <c r="L1" s="1409"/>
      <c r="M1" s="1409"/>
      <c r="N1" s="1409"/>
      <c r="O1" s="1409"/>
      <c r="P1" s="1409"/>
      <c r="Q1" s="1409"/>
      <c r="R1" s="1409"/>
      <c r="S1" s="1409"/>
    </row>
    <row r="2" spans="1:19" x14ac:dyDescent="0.2">
      <c r="N2" s="115"/>
    </row>
    <row r="3" spans="1:19" s="95" customFormat="1" ht="12.75" customHeight="1" x14ac:dyDescent="0.2">
      <c r="A3" s="116"/>
      <c r="B3" s="1414" t="s">
        <v>77</v>
      </c>
      <c r="C3" s="1414"/>
      <c r="D3" s="1414"/>
      <c r="E3" s="1414"/>
      <c r="F3" s="1414"/>
      <c r="G3" s="1414"/>
      <c r="H3" s="1414"/>
      <c r="I3" s="1414"/>
      <c r="J3" s="1414"/>
      <c r="K3" s="1414"/>
      <c r="L3" s="1414"/>
      <c r="M3" s="1414"/>
      <c r="N3" s="1414"/>
      <c r="O3" s="1414"/>
      <c r="P3" s="1414"/>
      <c r="Q3" s="1414"/>
      <c r="R3" s="1414"/>
      <c r="S3" s="1414"/>
    </row>
    <row r="4" spans="1:19" s="95" customFormat="1" x14ac:dyDescent="0.2">
      <c r="A4" s="116"/>
      <c r="B4" s="1544" t="s">
        <v>1183</v>
      </c>
      <c r="C4" s="1544"/>
      <c r="D4" s="1544"/>
      <c r="E4" s="1544"/>
      <c r="F4" s="1544"/>
      <c r="G4" s="1544"/>
      <c r="H4" s="1544"/>
      <c r="I4" s="1544"/>
      <c r="J4" s="1544"/>
      <c r="K4" s="1544"/>
      <c r="L4" s="1544"/>
      <c r="M4" s="1544"/>
      <c r="N4" s="1544"/>
      <c r="O4" s="1544"/>
      <c r="P4" s="1544"/>
      <c r="Q4" s="1544"/>
      <c r="R4" s="1544"/>
      <c r="S4" s="1544"/>
    </row>
    <row r="5" spans="1:19" s="95" customFormat="1" ht="12.75" customHeight="1" x14ac:dyDescent="0.2">
      <c r="A5" s="1416" t="s">
        <v>303</v>
      </c>
      <c r="B5" s="1416"/>
      <c r="C5" s="1416"/>
      <c r="D5" s="1416"/>
      <c r="E5" s="1416"/>
      <c r="F5" s="1416"/>
      <c r="G5" s="1416"/>
      <c r="H5" s="1416"/>
      <c r="I5" s="1416"/>
      <c r="J5" s="1416"/>
      <c r="K5" s="1416"/>
      <c r="L5" s="1416"/>
      <c r="M5" s="1416"/>
      <c r="N5" s="1416"/>
      <c r="O5" s="1416"/>
      <c r="P5" s="1416"/>
      <c r="Q5" s="1416"/>
      <c r="R5" s="1416"/>
      <c r="S5" s="1416"/>
    </row>
    <row r="6" spans="1:19" s="95" customFormat="1" ht="12.75" customHeight="1" x14ac:dyDescent="0.2">
      <c r="A6" s="1546" t="s">
        <v>56</v>
      </c>
      <c r="B6" s="1436" t="s">
        <v>57</v>
      </c>
      <c r="C6" s="1437" t="s">
        <v>58</v>
      </c>
      <c r="D6" s="1438"/>
      <c r="E6" s="1438"/>
      <c r="F6" s="1438"/>
      <c r="G6" s="1438"/>
      <c r="H6" s="1438"/>
      <c r="I6" s="1438"/>
      <c r="J6" s="1550"/>
      <c r="K6" s="1549" t="s">
        <v>59</v>
      </c>
      <c r="L6" s="1417" t="s">
        <v>60</v>
      </c>
      <c r="M6" s="1417"/>
      <c r="N6" s="1417"/>
      <c r="O6" s="1417"/>
      <c r="P6" s="1417"/>
      <c r="Q6" s="1417"/>
      <c r="R6" s="1417"/>
      <c r="S6" s="1417"/>
    </row>
    <row r="7" spans="1:19" s="95" customFormat="1" ht="12.75" customHeight="1" x14ac:dyDescent="0.2">
      <c r="A7" s="1546"/>
      <c r="B7" s="1436"/>
      <c r="C7" s="1431" t="s">
        <v>1344</v>
      </c>
      <c r="D7" s="1431"/>
      <c r="E7" s="1432"/>
      <c r="F7" s="1413" t="s">
        <v>1337</v>
      </c>
      <c r="G7" s="1413"/>
      <c r="H7" s="1413" t="s">
        <v>1338</v>
      </c>
      <c r="I7" s="1413"/>
      <c r="J7" s="1413"/>
      <c r="K7" s="1549"/>
      <c r="L7" s="1548" t="s">
        <v>1344</v>
      </c>
      <c r="M7" s="1548"/>
      <c r="N7" s="1548"/>
      <c r="O7" s="1545" t="s">
        <v>1337</v>
      </c>
      <c r="P7" s="1545"/>
      <c r="Q7" s="1545" t="s">
        <v>1338</v>
      </c>
      <c r="R7" s="1545"/>
      <c r="S7" s="1545"/>
    </row>
    <row r="8" spans="1:19" s="96" customFormat="1" ht="36.6" customHeight="1" x14ac:dyDescent="0.2">
      <c r="A8" s="1547"/>
      <c r="B8" s="1382" t="s">
        <v>61</v>
      </c>
      <c r="C8" s="1383" t="s">
        <v>62</v>
      </c>
      <c r="D8" s="1383" t="s">
        <v>63</v>
      </c>
      <c r="E8" s="1384" t="s">
        <v>64</v>
      </c>
      <c r="F8" s="1383" t="s">
        <v>62</v>
      </c>
      <c r="G8" s="1385" t="s">
        <v>63</v>
      </c>
      <c r="H8" s="1386" t="s">
        <v>62</v>
      </c>
      <c r="I8" s="1383" t="s">
        <v>63</v>
      </c>
      <c r="J8" s="1384" t="s">
        <v>64</v>
      </c>
      <c r="K8" s="1387" t="s">
        <v>65</v>
      </c>
      <c r="L8" s="1383" t="s">
        <v>62</v>
      </c>
      <c r="M8" s="1383" t="s">
        <v>63</v>
      </c>
      <c r="N8" s="1383" t="s">
        <v>64</v>
      </c>
      <c r="O8" s="1383" t="s">
        <v>62</v>
      </c>
      <c r="P8" s="1383" t="s">
        <v>63</v>
      </c>
      <c r="Q8" s="1383" t="s">
        <v>62</v>
      </c>
      <c r="R8" s="1384" t="s">
        <v>63</v>
      </c>
      <c r="S8" s="1306" t="s">
        <v>64</v>
      </c>
    </row>
    <row r="9" spans="1:19" ht="11.45" customHeight="1" x14ac:dyDescent="0.2">
      <c r="A9" s="552">
        <v>1</v>
      </c>
      <c r="B9" s="1326" t="s">
        <v>24</v>
      </c>
      <c r="C9" s="121"/>
      <c r="D9" s="121"/>
      <c r="E9" s="1354"/>
      <c r="F9" s="121"/>
      <c r="G9" s="1354"/>
      <c r="H9" s="121"/>
      <c r="I9" s="121"/>
      <c r="J9" s="1354"/>
      <c r="K9" s="1337" t="s">
        <v>25</v>
      </c>
      <c r="L9" s="121"/>
      <c r="M9" s="121"/>
      <c r="N9" s="575"/>
      <c r="O9" s="199"/>
      <c r="P9" s="1388"/>
      <c r="Q9" s="199"/>
      <c r="R9" s="199"/>
      <c r="S9" s="1388"/>
    </row>
    <row r="10" spans="1:19" x14ac:dyDescent="0.2">
      <c r="A10" s="552">
        <f t="shared" ref="A10:A55" si="0">A9+1</f>
        <v>2</v>
      </c>
      <c r="B10" s="118" t="s">
        <v>35</v>
      </c>
      <c r="C10" s="193"/>
      <c r="D10" s="193"/>
      <c r="E10" s="339">
        <f>SUM(C10:D10)</f>
        <v>0</v>
      </c>
      <c r="F10" s="193"/>
      <c r="G10" s="339"/>
      <c r="H10" s="193"/>
      <c r="I10" s="193"/>
      <c r="J10" s="339"/>
      <c r="K10" s="193" t="s">
        <v>216</v>
      </c>
      <c r="L10" s="193">
        <f>'műk. kiad. szakf Önkorm. '!D66</f>
        <v>53431</v>
      </c>
      <c r="M10" s="193">
        <f>'műk. kiad. szakf Önkorm. '!G66</f>
        <v>39423</v>
      </c>
      <c r="N10" s="1355">
        <f>SUM(L10:M10)</f>
        <v>92854</v>
      </c>
      <c r="O10" s="200"/>
      <c r="P10" s="1361">
        <v>1331</v>
      </c>
      <c r="Q10" s="200">
        <f>L10+O10</f>
        <v>53431</v>
      </c>
      <c r="R10" s="200">
        <f>M10+P10</f>
        <v>40754</v>
      </c>
      <c r="S10" s="1361">
        <f>Q10+R10</f>
        <v>94185</v>
      </c>
    </row>
    <row r="11" spans="1:19" x14ac:dyDescent="0.2">
      <c r="A11" s="552">
        <f t="shared" si="0"/>
        <v>3</v>
      </c>
      <c r="B11" s="118" t="s">
        <v>192</v>
      </c>
      <c r="C11" s="193">
        <f>'tám, végl. pe.átv  '!C11+'tám, végl. pe.átv  '!C17+'tám, végl. pe.átv  '!C18</f>
        <v>782216</v>
      </c>
      <c r="D11" s="193">
        <f>'tám, végl. pe.átv  '!D11+'tám, végl. pe.átv  '!D17+'tám, végl. pe.átv  '!D18</f>
        <v>106500</v>
      </c>
      <c r="E11" s="339">
        <f>'tám, végl. pe.átv  '!E11+'tám, végl. pe.átv  '!E17+'tám, végl. pe.átv  '!E18</f>
        <v>888716</v>
      </c>
      <c r="F11" s="193">
        <v>6366</v>
      </c>
      <c r="G11" s="339">
        <v>1496</v>
      </c>
      <c r="H11" s="193">
        <f>C11+F11</f>
        <v>788582</v>
      </c>
      <c r="I11" s="193">
        <f>D11+G11</f>
        <v>107996</v>
      </c>
      <c r="J11" s="339">
        <f>H11+I11</f>
        <v>896578</v>
      </c>
      <c r="K11" s="193" t="s">
        <v>217</v>
      </c>
      <c r="L11" s="193">
        <f>'műk. kiad. szakf Önkorm. '!J66</f>
        <v>15720</v>
      </c>
      <c r="M11" s="193">
        <f>'műk. kiad. szakf Önkorm. '!M66</f>
        <v>13590</v>
      </c>
      <c r="N11" s="1355">
        <f>SUM(L11:M11)</f>
        <v>29310</v>
      </c>
      <c r="O11" s="200"/>
      <c r="P11" s="1361">
        <v>358</v>
      </c>
      <c r="Q11" s="200">
        <f>L11+O11</f>
        <v>15720</v>
      </c>
      <c r="R11" s="200">
        <f>M11+P11</f>
        <v>13948</v>
      </c>
      <c r="S11" s="1361">
        <f t="shared" ref="S11:S54" si="1">Q11+R11</f>
        <v>29668</v>
      </c>
    </row>
    <row r="12" spans="1:19" x14ac:dyDescent="0.2">
      <c r="A12" s="552">
        <f t="shared" si="0"/>
        <v>4</v>
      </c>
      <c r="B12" s="118" t="s">
        <v>189</v>
      </c>
      <c r="C12" s="193"/>
      <c r="D12" s="193">
        <v>0</v>
      </c>
      <c r="E12" s="339">
        <f>C12+D12</f>
        <v>0</v>
      </c>
      <c r="F12" s="193"/>
      <c r="G12" s="339"/>
      <c r="H12" s="193"/>
      <c r="I12" s="193"/>
      <c r="J12" s="339"/>
      <c r="K12" s="193" t="s">
        <v>218</v>
      </c>
      <c r="L12" s="193">
        <f>'műk. kiad. szakf Önkorm. '!P66</f>
        <v>276004</v>
      </c>
      <c r="M12" s="193">
        <f>'műk. kiad. szakf Önkorm. '!S66</f>
        <v>241975</v>
      </c>
      <c r="N12" s="1355">
        <f>SUM(L12:M12)</f>
        <v>517979</v>
      </c>
      <c r="O12" s="200">
        <v>35408</v>
      </c>
      <c r="P12" s="1361">
        <v>50908</v>
      </c>
      <c r="Q12" s="200">
        <f>L12+O12</f>
        <v>311412</v>
      </c>
      <c r="R12" s="200">
        <f>M12+P12</f>
        <v>292883</v>
      </c>
      <c r="S12" s="1361">
        <f t="shared" si="1"/>
        <v>604295</v>
      </c>
    </row>
    <row r="13" spans="1:19" ht="12" customHeight="1" x14ac:dyDescent="0.2">
      <c r="A13" s="552">
        <f t="shared" si="0"/>
        <v>5</v>
      </c>
      <c r="B13" s="1327" t="s">
        <v>193</v>
      </c>
      <c r="C13" s="193">
        <f>'tám, végl. pe.átv  '!C37</f>
        <v>7067</v>
      </c>
      <c r="D13" s="193">
        <f>'tám, végl. pe.átv  '!D37</f>
        <v>25793</v>
      </c>
      <c r="E13" s="339">
        <f>'tám, végl. pe.átv  '!E37</f>
        <v>32860</v>
      </c>
      <c r="F13" s="193">
        <v>-383</v>
      </c>
      <c r="G13" s="339">
        <v>-14540</v>
      </c>
      <c r="H13" s="193">
        <f t="shared" ref="H13:H54" si="2">C13+F13</f>
        <v>6684</v>
      </c>
      <c r="I13" s="193">
        <f t="shared" ref="I13:I54" si="3">D13+G13</f>
        <v>11253</v>
      </c>
      <c r="J13" s="339">
        <f t="shared" ref="J13:J54" si="4">H13+I13</f>
        <v>17937</v>
      </c>
      <c r="K13" s="193"/>
      <c r="L13" s="193"/>
      <c r="M13" s="193"/>
      <c r="N13" s="1355"/>
      <c r="O13" s="200"/>
      <c r="P13" s="1361"/>
      <c r="Q13" s="200"/>
      <c r="R13" s="200"/>
      <c r="S13" s="1361"/>
    </row>
    <row r="14" spans="1:19" x14ac:dyDescent="0.2">
      <c r="A14" s="552">
        <f>A13+1</f>
        <v>6</v>
      </c>
      <c r="B14" s="118" t="s">
        <v>1141</v>
      </c>
      <c r="C14" s="193"/>
      <c r="D14" s="193"/>
      <c r="E14" s="339"/>
      <c r="F14" s="193"/>
      <c r="G14" s="339"/>
      <c r="H14" s="193"/>
      <c r="I14" s="193"/>
      <c r="J14" s="339"/>
      <c r="K14" s="193" t="s">
        <v>219</v>
      </c>
      <c r="L14" s="200">
        <f>'ellátottak önk.'!E28</f>
        <v>2689</v>
      </c>
      <c r="M14" s="200">
        <f>'ellátottak önk.'!F28</f>
        <v>10950</v>
      </c>
      <c r="N14" s="1355">
        <f>SUM(L14:M14)</f>
        <v>13639</v>
      </c>
      <c r="O14" s="200"/>
      <c r="P14" s="1361"/>
      <c r="Q14" s="200">
        <f>L14+O14</f>
        <v>2689</v>
      </c>
      <c r="R14" s="200">
        <f>M14+P14</f>
        <v>10950</v>
      </c>
      <c r="S14" s="1361">
        <f t="shared" si="1"/>
        <v>13639</v>
      </c>
    </row>
    <row r="15" spans="1:19" x14ac:dyDescent="0.2">
      <c r="A15" s="552">
        <f t="shared" ref="A15:A26" si="5">A14+1</f>
        <v>7</v>
      </c>
      <c r="B15" s="118" t="s">
        <v>1139</v>
      </c>
      <c r="C15" s="193">
        <f>'felh. bev.  '!D24</f>
        <v>0</v>
      </c>
      <c r="D15" s="193"/>
      <c r="E15" s="339">
        <f t="shared" ref="E15:E16" si="6">SUM(C15:D15)</f>
        <v>0</v>
      </c>
      <c r="F15" s="193"/>
      <c r="G15" s="339"/>
      <c r="H15" s="193"/>
      <c r="I15" s="193"/>
      <c r="J15" s="339"/>
      <c r="K15" s="193"/>
      <c r="L15" s="200"/>
      <c r="M15" s="200"/>
      <c r="N15" s="1355"/>
      <c r="O15" s="200"/>
      <c r="P15" s="1361"/>
      <c r="Q15" s="200"/>
      <c r="R15" s="200"/>
      <c r="S15" s="1361"/>
    </row>
    <row r="16" spans="1:19" x14ac:dyDescent="0.2">
      <c r="A16" s="552">
        <f t="shared" si="5"/>
        <v>8</v>
      </c>
      <c r="B16" s="1328" t="s">
        <v>1140</v>
      </c>
      <c r="C16" s="193">
        <f>'felh. bev.  '!D28</f>
        <v>0</v>
      </c>
      <c r="D16" s="193">
        <f>'felh. bev.  '!E28</f>
        <v>0</v>
      </c>
      <c r="E16" s="339">
        <f t="shared" si="6"/>
        <v>0</v>
      </c>
      <c r="F16" s="193"/>
      <c r="G16" s="339">
        <v>14540</v>
      </c>
      <c r="H16" s="193"/>
      <c r="I16" s="193">
        <f t="shared" si="3"/>
        <v>14540</v>
      </c>
      <c r="J16" s="339">
        <f t="shared" si="4"/>
        <v>14540</v>
      </c>
      <c r="K16" s="193" t="s">
        <v>220</v>
      </c>
      <c r="L16" s="200"/>
      <c r="M16" s="200"/>
      <c r="N16" s="1355"/>
      <c r="O16" s="200"/>
      <c r="P16" s="1361"/>
      <c r="Q16" s="200"/>
      <c r="R16" s="200"/>
      <c r="S16" s="1361"/>
    </row>
    <row r="17" spans="1:19" x14ac:dyDescent="0.2">
      <c r="A17" s="552">
        <f t="shared" si="5"/>
        <v>9</v>
      </c>
      <c r="B17" s="118" t="s">
        <v>194</v>
      </c>
      <c r="C17" s="193">
        <f>'közhatalmi bevételek'!D30</f>
        <v>376462</v>
      </c>
      <c r="D17" s="193">
        <f>'közhatalmi bevételek'!E30</f>
        <v>863942</v>
      </c>
      <c r="E17" s="339">
        <f>'közhatalmi bevételek'!F30</f>
        <v>1240404</v>
      </c>
      <c r="F17" s="193">
        <v>1285</v>
      </c>
      <c r="G17" s="339">
        <v>-1285</v>
      </c>
      <c r="H17" s="193">
        <f t="shared" si="2"/>
        <v>377747</v>
      </c>
      <c r="I17" s="193">
        <f t="shared" si="3"/>
        <v>862657</v>
      </c>
      <c r="J17" s="339">
        <f t="shared" si="4"/>
        <v>1240404</v>
      </c>
      <c r="K17" s="193" t="s">
        <v>221</v>
      </c>
      <c r="L17" s="200">
        <f>mc.pe.átad!D22</f>
        <v>5850</v>
      </c>
      <c r="M17" s="200">
        <f>mc.pe.átad!E22</f>
        <v>53735</v>
      </c>
      <c r="N17" s="1361">
        <f>mc.pe.átad!F22</f>
        <v>59585</v>
      </c>
      <c r="O17" s="200"/>
      <c r="P17" s="1361">
        <v>5106</v>
      </c>
      <c r="Q17" s="200">
        <f>L17+O17</f>
        <v>5850</v>
      </c>
      <c r="R17" s="200">
        <f>M17+P17</f>
        <v>58841</v>
      </c>
      <c r="S17" s="1361">
        <f t="shared" si="1"/>
        <v>64691</v>
      </c>
    </row>
    <row r="18" spans="1:19" x14ac:dyDescent="0.2">
      <c r="A18" s="552">
        <f t="shared" si="5"/>
        <v>10</v>
      </c>
      <c r="B18" s="120" t="s">
        <v>40</v>
      </c>
      <c r="C18" s="1329"/>
      <c r="D18" s="1329"/>
      <c r="E18" s="1355"/>
      <c r="F18" s="1329"/>
      <c r="G18" s="1355"/>
      <c r="H18" s="193"/>
      <c r="I18" s="193"/>
      <c r="J18" s="339"/>
      <c r="K18" s="193" t="s">
        <v>222</v>
      </c>
      <c r="L18" s="200">
        <f>mc.pe.átad!D61</f>
        <v>116758</v>
      </c>
      <c r="M18" s="200">
        <f>mc.pe.átad!E61</f>
        <v>175656</v>
      </c>
      <c r="N18" s="1361">
        <f>mc.pe.átad!F61</f>
        <v>292414</v>
      </c>
      <c r="O18" s="200">
        <v>-1346</v>
      </c>
      <c r="P18" s="1361">
        <v>950</v>
      </c>
      <c r="Q18" s="200">
        <f>L18+O18</f>
        <v>115412</v>
      </c>
      <c r="R18" s="200">
        <f>M18+P18</f>
        <v>176606</v>
      </c>
      <c r="S18" s="1361">
        <f t="shared" si="1"/>
        <v>292018</v>
      </c>
    </row>
    <row r="19" spans="1:19" x14ac:dyDescent="0.2">
      <c r="A19" s="552">
        <f t="shared" si="5"/>
        <v>11</v>
      </c>
      <c r="B19" s="120"/>
      <c r="C19" s="1329"/>
      <c r="D19" s="1329"/>
      <c r="E19" s="1355"/>
      <c r="F19" s="1329"/>
      <c r="G19" s="1355"/>
      <c r="H19" s="193"/>
      <c r="I19" s="193"/>
      <c r="J19" s="339"/>
      <c r="K19" s="193" t="s">
        <v>269</v>
      </c>
      <c r="L19" s="200">
        <f>'műk. kiad. szakf Önkorm. '!AH66</f>
        <v>0</v>
      </c>
      <c r="M19" s="200">
        <f>'műk. kiad. szakf Önkorm. '!AI66</f>
        <v>0</v>
      </c>
      <c r="N19" s="1361">
        <f>L19+M19</f>
        <v>0</v>
      </c>
      <c r="O19" s="200"/>
      <c r="P19" s="1361"/>
      <c r="Q19" s="200"/>
      <c r="R19" s="200"/>
      <c r="S19" s="1361"/>
    </row>
    <row r="20" spans="1:19" x14ac:dyDescent="0.2">
      <c r="A20" s="552">
        <f>A19+1</f>
        <v>12</v>
      </c>
      <c r="B20" s="118" t="s">
        <v>195</v>
      </c>
      <c r="C20" s="1329">
        <v>145931</v>
      </c>
      <c r="D20" s="1329">
        <v>115957</v>
      </c>
      <c r="E20" s="1355">
        <f>SUM(C20:D20)</f>
        <v>261888</v>
      </c>
      <c r="F20" s="1329">
        <v>5593</v>
      </c>
      <c r="G20" s="1355">
        <v>2890</v>
      </c>
      <c r="H20" s="193">
        <f t="shared" si="2"/>
        <v>151524</v>
      </c>
      <c r="I20" s="193">
        <f t="shared" si="3"/>
        <v>118847</v>
      </c>
      <c r="J20" s="339">
        <f t="shared" si="4"/>
        <v>270371</v>
      </c>
      <c r="K20" s="193" t="s">
        <v>224</v>
      </c>
      <c r="L20" s="200">
        <f>tartalék!C24</f>
        <v>0</v>
      </c>
      <c r="M20" s="200">
        <f>tartalék!D24</f>
        <v>35000</v>
      </c>
      <c r="N20" s="1389">
        <f>SUM(L20:M20)</f>
        <v>35000</v>
      </c>
      <c r="O20" s="200"/>
      <c r="P20" s="1361">
        <v>-1208</v>
      </c>
      <c r="Q20" s="200">
        <f>L20+O20</f>
        <v>0</v>
      </c>
      <c r="R20" s="200">
        <f>M20+P20</f>
        <v>33792</v>
      </c>
      <c r="S20" s="1361">
        <f t="shared" si="1"/>
        <v>33792</v>
      </c>
    </row>
    <row r="21" spans="1:19" x14ac:dyDescent="0.2">
      <c r="A21" s="552">
        <f t="shared" si="5"/>
        <v>13</v>
      </c>
      <c r="B21" s="1330"/>
      <c r="C21" s="1329"/>
      <c r="D21" s="1329"/>
      <c r="E21" s="1355"/>
      <c r="F21" s="1329"/>
      <c r="G21" s="1355"/>
      <c r="H21" s="193"/>
      <c r="I21" s="193"/>
      <c r="J21" s="339"/>
      <c r="K21" s="193" t="s">
        <v>270</v>
      </c>
      <c r="L21" s="200">
        <f>tartalék!C32</f>
        <v>63771</v>
      </c>
      <c r="M21" s="200">
        <f>tartalék!D32</f>
        <v>11007</v>
      </c>
      <c r="N21" s="1361">
        <f>tartalék!E32</f>
        <v>74778</v>
      </c>
      <c r="O21" s="200">
        <v>17433</v>
      </c>
      <c r="P21" s="1361">
        <v>17558</v>
      </c>
      <c r="Q21" s="200">
        <f>L21+O21</f>
        <v>81204</v>
      </c>
      <c r="R21" s="200">
        <f>M21+P21</f>
        <v>28565</v>
      </c>
      <c r="S21" s="1361">
        <f t="shared" si="1"/>
        <v>109769</v>
      </c>
    </row>
    <row r="22" spans="1:19" s="97" customFormat="1" x14ac:dyDescent="0.2">
      <c r="A22" s="552">
        <f t="shared" si="5"/>
        <v>14</v>
      </c>
      <c r="B22" s="1330" t="s">
        <v>42</v>
      </c>
      <c r="C22" s="1329"/>
      <c r="D22" s="1329"/>
      <c r="E22" s="1355"/>
      <c r="F22" s="1329"/>
      <c r="G22" s="1355"/>
      <c r="H22" s="193"/>
      <c r="I22" s="193"/>
      <c r="J22" s="339"/>
      <c r="K22" s="200"/>
      <c r="L22" s="200"/>
      <c r="M22" s="200"/>
      <c r="N22" s="1361"/>
      <c r="O22" s="1393"/>
      <c r="P22" s="1398"/>
      <c r="Q22" s="200"/>
      <c r="R22" s="200"/>
      <c r="S22" s="1361"/>
    </row>
    <row r="23" spans="1:19" s="97" customFormat="1" x14ac:dyDescent="0.2">
      <c r="A23" s="552">
        <f t="shared" si="5"/>
        <v>15</v>
      </c>
      <c r="B23" s="1330" t="s">
        <v>196</v>
      </c>
      <c r="C23" s="1329"/>
      <c r="D23" s="1329"/>
      <c r="E23" s="1355"/>
      <c r="F23" s="1329"/>
      <c r="G23" s="1355"/>
      <c r="H23" s="193"/>
      <c r="I23" s="193"/>
      <c r="J23" s="339"/>
      <c r="K23" s="200"/>
      <c r="L23" s="200"/>
      <c r="M23" s="200"/>
      <c r="N23" s="1361"/>
      <c r="O23" s="1393"/>
      <c r="P23" s="1398"/>
      <c r="Q23" s="200"/>
      <c r="R23" s="200"/>
      <c r="S23" s="1361"/>
    </row>
    <row r="24" spans="1:19" x14ac:dyDescent="0.2">
      <c r="A24" s="552">
        <f t="shared" si="5"/>
        <v>16</v>
      </c>
      <c r="B24" s="1330" t="s">
        <v>199</v>
      </c>
      <c r="C24" s="193">
        <f>'felh. bev.  '!D12</f>
        <v>0</v>
      </c>
      <c r="D24" s="193">
        <f>'felh. bev.  '!E12</f>
        <v>19400</v>
      </c>
      <c r="E24" s="1355">
        <f>SUM(C24:D24)</f>
        <v>19400</v>
      </c>
      <c r="F24" s="1329">
        <v>1447</v>
      </c>
      <c r="G24" s="1355">
        <v>9900</v>
      </c>
      <c r="H24" s="193">
        <f t="shared" si="2"/>
        <v>1447</v>
      </c>
      <c r="I24" s="193">
        <f t="shared" si="3"/>
        <v>29300</v>
      </c>
      <c r="J24" s="339">
        <f t="shared" si="4"/>
        <v>30747</v>
      </c>
      <c r="K24" s="1349" t="s">
        <v>66</v>
      </c>
      <c r="L24" s="1349">
        <f t="shared" ref="L24:P24" si="7">SUM(L10:L22)</f>
        <v>534223</v>
      </c>
      <c r="M24" s="1349">
        <f t="shared" si="7"/>
        <v>581336</v>
      </c>
      <c r="N24" s="1362">
        <f t="shared" si="7"/>
        <v>1115559</v>
      </c>
      <c r="O24" s="1349">
        <f t="shared" si="7"/>
        <v>51495</v>
      </c>
      <c r="P24" s="1362">
        <f t="shared" si="7"/>
        <v>75003</v>
      </c>
      <c r="Q24" s="200">
        <f>L24+O24</f>
        <v>585718</v>
      </c>
      <c r="R24" s="200">
        <f>M24+P24</f>
        <v>656339</v>
      </c>
      <c r="S24" s="1361">
        <f t="shared" si="1"/>
        <v>1242057</v>
      </c>
    </row>
    <row r="25" spans="1:19" x14ac:dyDescent="0.2">
      <c r="A25" s="552">
        <f t="shared" si="5"/>
        <v>17</v>
      </c>
      <c r="B25" s="1330" t="s">
        <v>200</v>
      </c>
      <c r="C25" s="1329">
        <f>'felh. bev.  '!D13+'felh. bev.  '!D14</f>
        <v>0</v>
      </c>
      <c r="D25" s="1329">
        <f>'felh. bev.  '!E13+'felh. bev.  '!E14</f>
        <v>0</v>
      </c>
      <c r="E25" s="1355">
        <f>SUM(C25:D25)</f>
        <v>0</v>
      </c>
      <c r="F25" s="1329"/>
      <c r="G25" s="1355">
        <v>4</v>
      </c>
      <c r="H25" s="193"/>
      <c r="I25" s="193">
        <f t="shared" si="3"/>
        <v>4</v>
      </c>
      <c r="J25" s="339">
        <f t="shared" si="4"/>
        <v>4</v>
      </c>
      <c r="K25" s="200"/>
      <c r="L25" s="200"/>
      <c r="M25" s="200"/>
      <c r="N25" s="1361"/>
      <c r="O25" s="200"/>
      <c r="P25" s="1361"/>
      <c r="Q25" s="200"/>
      <c r="R25" s="200"/>
      <c r="S25" s="1361"/>
    </row>
    <row r="26" spans="1:19" x14ac:dyDescent="0.2">
      <c r="A26" s="552">
        <f t="shared" si="5"/>
        <v>18</v>
      </c>
      <c r="B26" s="1330" t="s">
        <v>201</v>
      </c>
      <c r="C26" s="193">
        <f>'felh. bev.  '!D20</f>
        <v>0</v>
      </c>
      <c r="D26" s="193">
        <f>'felh. bev.  '!E20</f>
        <v>180</v>
      </c>
      <c r="E26" s="339">
        <f>'felh. bev.  '!F20</f>
        <v>180</v>
      </c>
      <c r="F26" s="193"/>
      <c r="G26" s="339"/>
      <c r="H26" s="193"/>
      <c r="I26" s="193">
        <f t="shared" si="3"/>
        <v>180</v>
      </c>
      <c r="J26" s="339">
        <f t="shared" si="4"/>
        <v>180</v>
      </c>
      <c r="K26" s="1332" t="s">
        <v>34</v>
      </c>
      <c r="L26" s="1336"/>
      <c r="M26" s="1336"/>
      <c r="N26" s="1361"/>
      <c r="O26" s="200"/>
      <c r="P26" s="1361"/>
      <c r="Q26" s="200"/>
      <c r="R26" s="200"/>
      <c r="S26" s="1361"/>
    </row>
    <row r="27" spans="1:19" x14ac:dyDescent="0.2">
      <c r="A27" s="552">
        <f t="shared" si="0"/>
        <v>19</v>
      </c>
      <c r="B27" s="118" t="s">
        <v>202</v>
      </c>
      <c r="C27" s="193"/>
      <c r="D27" s="193"/>
      <c r="E27" s="339"/>
      <c r="F27" s="193"/>
      <c r="G27" s="339"/>
      <c r="H27" s="193"/>
      <c r="I27" s="193"/>
      <c r="J27" s="339"/>
      <c r="K27" s="193" t="s">
        <v>271</v>
      </c>
      <c r="L27" s="200">
        <f>'felhalm. kiad.  '!M18+'felhalm. kiad.  '!M49+'felhalm. kiad.  '!M58+'felhalm. kiad.  '!M69</f>
        <v>917170</v>
      </c>
      <c r="M27" s="200">
        <f>'felhalm. kiad.  '!P18+'felhalm. kiad.  '!P49+'felhalm. kiad.  '!P58+'felhalm. kiad.  '!P63+'felhalm. kiad.  '!P69+'felhalm. kiad.  '!P136</f>
        <v>172150</v>
      </c>
      <c r="N27" s="1361">
        <f t="shared" ref="N27:N32" si="8">SUM(L27:M27)</f>
        <v>1089320</v>
      </c>
      <c r="O27" s="200">
        <v>53249</v>
      </c>
      <c r="P27" s="1361">
        <v>-17900</v>
      </c>
      <c r="Q27" s="200">
        <f>L27+O27</f>
        <v>970419</v>
      </c>
      <c r="R27" s="200">
        <f>M27+P27</f>
        <v>154250</v>
      </c>
      <c r="S27" s="1361">
        <f t="shared" si="1"/>
        <v>1124669</v>
      </c>
    </row>
    <row r="28" spans="1:19" x14ac:dyDescent="0.2">
      <c r="A28" s="552">
        <f t="shared" si="0"/>
        <v>20</v>
      </c>
      <c r="B28" s="118"/>
      <c r="C28" s="193"/>
      <c r="D28" s="193"/>
      <c r="E28" s="339"/>
      <c r="F28" s="193"/>
      <c r="G28" s="339"/>
      <c r="H28" s="193"/>
      <c r="I28" s="193"/>
      <c r="J28" s="339"/>
      <c r="K28" s="193" t="s">
        <v>228</v>
      </c>
      <c r="L28" s="200">
        <f>'felhalm. kiad.  '!M24</f>
        <v>0</v>
      </c>
      <c r="M28" s="200">
        <f>'felhalm. kiad.  '!P24</f>
        <v>0</v>
      </c>
      <c r="N28" s="1361">
        <f t="shared" si="8"/>
        <v>0</v>
      </c>
      <c r="O28" s="1713">
        <v>49715</v>
      </c>
      <c r="P28" s="1361">
        <v>2500</v>
      </c>
      <c r="Q28" s="200">
        <f>L28+O28</f>
        <v>49715</v>
      </c>
      <c r="R28" s="200">
        <f>M28+P28</f>
        <v>2500</v>
      </c>
      <c r="S28" s="1361">
        <f t="shared" si="1"/>
        <v>52215</v>
      </c>
    </row>
    <row r="29" spans="1:19" x14ac:dyDescent="0.2">
      <c r="A29" s="552">
        <f t="shared" si="0"/>
        <v>21</v>
      </c>
      <c r="B29" s="1330" t="s">
        <v>203</v>
      </c>
      <c r="C29" s="193">
        <f>'tám, végl. pe.átv  '!C42</f>
        <v>0</v>
      </c>
      <c r="D29" s="193">
        <f>'tám, végl. pe.átv  '!D42</f>
        <v>0</v>
      </c>
      <c r="E29" s="339">
        <f>'tám, végl. pe.átv  '!E42</f>
        <v>0</v>
      </c>
      <c r="F29" s="193"/>
      <c r="G29" s="339"/>
      <c r="H29" s="193"/>
      <c r="I29" s="193"/>
      <c r="J29" s="339"/>
      <c r="K29" s="193" t="s">
        <v>229</v>
      </c>
      <c r="L29" s="200"/>
      <c r="M29" s="200"/>
      <c r="N29" s="1361">
        <f t="shared" si="8"/>
        <v>0</v>
      </c>
      <c r="O29" s="1713"/>
      <c r="P29" s="1361"/>
      <c r="Q29" s="200"/>
      <c r="R29" s="200"/>
      <c r="S29" s="1361"/>
    </row>
    <row r="30" spans="1:19" s="97" customFormat="1" x14ac:dyDescent="0.2">
      <c r="A30" s="552">
        <f t="shared" si="0"/>
        <v>22</v>
      </c>
      <c r="B30" s="1330" t="s">
        <v>268</v>
      </c>
      <c r="C30" s="193">
        <f>'felh. bev.  '!D32+'felh. bev.  '!D36</f>
        <v>0</v>
      </c>
      <c r="D30" s="193">
        <f>'felh. bev.  '!E32+'felh. bev.  '!E36</f>
        <v>2870</v>
      </c>
      <c r="E30" s="339">
        <f>'felh. bev.  '!F32+'felh. bev.  '!F36</f>
        <v>2870</v>
      </c>
      <c r="F30" s="193"/>
      <c r="G30" s="339"/>
      <c r="H30" s="193"/>
      <c r="I30" s="193">
        <f t="shared" si="3"/>
        <v>2870</v>
      </c>
      <c r="J30" s="339">
        <f t="shared" si="4"/>
        <v>2870</v>
      </c>
      <c r="K30" s="193" t="s">
        <v>230</v>
      </c>
      <c r="L30" s="200">
        <f>'felhalm. kiad.  '!M75</f>
        <v>0</v>
      </c>
      <c r="M30" s="200">
        <f>'felhalm. kiad.  '!P75</f>
        <v>0</v>
      </c>
      <c r="N30" s="200">
        <f t="shared" si="8"/>
        <v>0</v>
      </c>
      <c r="O30" s="1713">
        <v>12004</v>
      </c>
      <c r="P30" s="1361">
        <v>78232</v>
      </c>
      <c r="Q30" s="200">
        <f>L30+O30</f>
        <v>12004</v>
      </c>
      <c r="R30" s="200">
        <f>M30+P30</f>
        <v>78232</v>
      </c>
      <c r="S30" s="1361">
        <f t="shared" si="1"/>
        <v>90236</v>
      </c>
    </row>
    <row r="31" spans="1:19" s="97" customFormat="1" x14ac:dyDescent="0.2">
      <c r="A31" s="552">
        <f t="shared" si="0"/>
        <v>23</v>
      </c>
      <c r="B31" s="1330"/>
      <c r="C31" s="193"/>
      <c r="D31" s="193"/>
      <c r="E31" s="339"/>
      <c r="F31" s="193"/>
      <c r="G31" s="339"/>
      <c r="H31" s="193"/>
      <c r="I31" s="193"/>
      <c r="J31" s="339"/>
      <c r="K31" s="193" t="s">
        <v>1156</v>
      </c>
      <c r="L31" s="200">
        <f>'felhalm. kiad.  '!M90</f>
        <v>0</v>
      </c>
      <c r="M31" s="200">
        <f>'felhalm. kiad.  '!P90</f>
        <v>5000</v>
      </c>
      <c r="N31" s="200">
        <f t="shared" si="8"/>
        <v>5000</v>
      </c>
      <c r="O31" s="1716"/>
      <c r="P31" s="1398"/>
      <c r="Q31" s="200">
        <f>L31+O31</f>
        <v>0</v>
      </c>
      <c r="R31" s="200">
        <f>M31+P31</f>
        <v>5000</v>
      </c>
      <c r="S31" s="1361">
        <f t="shared" si="1"/>
        <v>5000</v>
      </c>
    </row>
    <row r="32" spans="1:19" x14ac:dyDescent="0.2">
      <c r="A32" s="552">
        <f t="shared" si="0"/>
        <v>24</v>
      </c>
      <c r="B32" s="1330"/>
      <c r="C32" s="193"/>
      <c r="D32" s="193"/>
      <c r="E32" s="339"/>
      <c r="F32" s="193"/>
      <c r="G32" s="339"/>
      <c r="H32" s="193"/>
      <c r="I32" s="193"/>
      <c r="J32" s="339"/>
      <c r="K32" s="193" t="s">
        <v>1154</v>
      </c>
      <c r="L32" s="200">
        <f>'felhalm. kiad.  '!M85</f>
        <v>47741</v>
      </c>
      <c r="M32" s="200">
        <f>'felhalm. kiad.  '!P85</f>
        <v>4350</v>
      </c>
      <c r="N32" s="200">
        <f t="shared" si="8"/>
        <v>52091</v>
      </c>
      <c r="O32" s="1713">
        <v>1947</v>
      </c>
      <c r="P32" s="1361"/>
      <c r="Q32" s="200">
        <f>L32+O32</f>
        <v>49688</v>
      </c>
      <c r="R32" s="200">
        <f>M32+P32</f>
        <v>4350</v>
      </c>
      <c r="S32" s="1361">
        <f t="shared" si="1"/>
        <v>54038</v>
      </c>
    </row>
    <row r="33" spans="1:19" s="10" customFormat="1" x14ac:dyDescent="0.2">
      <c r="A33" s="552">
        <f t="shared" si="0"/>
        <v>25</v>
      </c>
      <c r="B33" s="1333" t="s">
        <v>52</v>
      </c>
      <c r="C33" s="1375">
        <f>C12+C20+C11+C17+C13+C29</f>
        <v>1311676</v>
      </c>
      <c r="D33" s="1375">
        <f>D12+D20+D11+D17+D13+D29</f>
        <v>1112192</v>
      </c>
      <c r="E33" s="1380">
        <f>E12+E20+E11+E17+E13+E29</f>
        <v>2423868</v>
      </c>
      <c r="F33" s="1710">
        <f t="shared" ref="F33:J33" si="9">F12+F20+F11+F17+F13+F29</f>
        <v>12861</v>
      </c>
      <c r="G33" s="1380">
        <f t="shared" si="9"/>
        <v>-11439</v>
      </c>
      <c r="H33" s="1710">
        <f>H12+H20+H11+H17+H13+H29</f>
        <v>1324537</v>
      </c>
      <c r="I33" s="1375">
        <f t="shared" si="9"/>
        <v>1100753</v>
      </c>
      <c r="J33" s="1380">
        <f t="shared" si="9"/>
        <v>2425290</v>
      </c>
      <c r="K33" s="193" t="s">
        <v>1155</v>
      </c>
      <c r="L33" s="200">
        <f>tartalék!C18</f>
        <v>27422</v>
      </c>
      <c r="M33" s="200">
        <f>tartalék!D18</f>
        <v>81223</v>
      </c>
      <c r="N33" s="200">
        <f>tartalék!E18</f>
        <v>108645</v>
      </c>
      <c r="O33" s="1713">
        <v>-2540</v>
      </c>
      <c r="P33" s="1361">
        <v>-68505</v>
      </c>
      <c r="Q33" s="200">
        <f>L33+O33</f>
        <v>24882</v>
      </c>
      <c r="R33" s="200">
        <f>M33+P33</f>
        <v>12718</v>
      </c>
      <c r="S33" s="1361">
        <f t="shared" si="1"/>
        <v>37600</v>
      </c>
    </row>
    <row r="34" spans="1:19" x14ac:dyDescent="0.2">
      <c r="A34" s="552">
        <f t="shared" si="0"/>
        <v>26</v>
      </c>
      <c r="B34" s="1376" t="s">
        <v>67</v>
      </c>
      <c r="C34" s="1349">
        <f>C15+C16+C24+C25+C26+C27+C30</f>
        <v>0</v>
      </c>
      <c r="D34" s="1349">
        <f>D15+D16+D24+D25+D26+D27+D30</f>
        <v>22450</v>
      </c>
      <c r="E34" s="1362">
        <f>E15+E16+E24+E25+E26+E27+E30</f>
        <v>22450</v>
      </c>
      <c r="F34" s="1711">
        <f t="shared" ref="F34:J34" si="10">F15+F16+F24+F25+F26+F27+F30</f>
        <v>1447</v>
      </c>
      <c r="G34" s="1362">
        <f t="shared" si="10"/>
        <v>24444</v>
      </c>
      <c r="H34" s="1711">
        <f>H15+H16+H24+H25+H26+H27+H30</f>
        <v>1447</v>
      </c>
      <c r="I34" s="1349">
        <f t="shared" si="10"/>
        <v>46894</v>
      </c>
      <c r="J34" s="1362">
        <f t="shared" si="10"/>
        <v>48341</v>
      </c>
      <c r="K34" s="1334" t="s">
        <v>68</v>
      </c>
      <c r="L34" s="1349">
        <f>SUM(L27:L33)</f>
        <v>992333</v>
      </c>
      <c r="M34" s="1349">
        <f>SUM(M27:M33)</f>
        <v>262723</v>
      </c>
      <c r="N34" s="1349">
        <f>SUM(N27:N33)</f>
        <v>1255056</v>
      </c>
      <c r="O34" s="1711">
        <f>SUM(O27:O33)</f>
        <v>114375</v>
      </c>
      <c r="P34" s="1362">
        <f>SUM(P27:P33)</f>
        <v>-5673</v>
      </c>
      <c r="Q34" s="1349">
        <f>L34+O34</f>
        <v>1106708</v>
      </c>
      <c r="R34" s="1349">
        <f>M34+P34</f>
        <v>257050</v>
      </c>
      <c r="S34" s="1362">
        <f t="shared" si="1"/>
        <v>1363758</v>
      </c>
    </row>
    <row r="35" spans="1:19" x14ac:dyDescent="0.2">
      <c r="A35" s="552">
        <f t="shared" si="0"/>
        <v>27</v>
      </c>
      <c r="B35" s="123" t="s">
        <v>51</v>
      </c>
      <c r="C35" s="1336">
        <f>SUM(C33:C34)</f>
        <v>1311676</v>
      </c>
      <c r="D35" s="1336">
        <f>SUM(D33:D34)</f>
        <v>1134642</v>
      </c>
      <c r="E35" s="1356">
        <f>SUM(C35:D35)</f>
        <v>2446318</v>
      </c>
      <c r="F35" s="1712">
        <f>F33+F34</f>
        <v>14308</v>
      </c>
      <c r="G35" s="1336">
        <f t="shared" ref="G35:J35" si="11">G33+G34</f>
        <v>13005</v>
      </c>
      <c r="H35" s="1712">
        <f t="shared" si="11"/>
        <v>1325984</v>
      </c>
      <c r="I35" s="1336">
        <f t="shared" si="11"/>
        <v>1147647</v>
      </c>
      <c r="J35" s="1356">
        <f t="shared" si="11"/>
        <v>2473631</v>
      </c>
      <c r="K35" s="1336" t="s">
        <v>69</v>
      </c>
      <c r="L35" s="1336">
        <f t="shared" ref="L35:N35" si="12">L24+L34</f>
        <v>1526556</v>
      </c>
      <c r="M35" s="1336">
        <f t="shared" si="12"/>
        <v>844059</v>
      </c>
      <c r="N35" s="1336">
        <f t="shared" si="12"/>
        <v>2370615</v>
      </c>
      <c r="O35" s="1712">
        <f>O24+O34</f>
        <v>165870</v>
      </c>
      <c r="P35" s="1336">
        <f t="shared" ref="P35:S35" si="13">P24+P34</f>
        <v>69330</v>
      </c>
      <c r="Q35" s="1712">
        <f t="shared" si="13"/>
        <v>1692426</v>
      </c>
      <c r="R35" s="1336">
        <f t="shared" si="13"/>
        <v>913389</v>
      </c>
      <c r="S35" s="1356">
        <f t="shared" si="13"/>
        <v>2605815</v>
      </c>
    </row>
    <row r="36" spans="1:19" x14ac:dyDescent="0.2">
      <c r="A36" s="552">
        <f t="shared" si="0"/>
        <v>28</v>
      </c>
      <c r="B36" s="1330"/>
      <c r="C36" s="200"/>
      <c r="D36" s="200"/>
      <c r="E36" s="1361"/>
      <c r="F36" s="1713"/>
      <c r="G36" s="1361"/>
      <c r="H36" s="345">
        <f t="shared" si="2"/>
        <v>0</v>
      </c>
      <c r="I36" s="193">
        <f t="shared" si="3"/>
        <v>0</v>
      </c>
      <c r="J36" s="339">
        <f t="shared" si="4"/>
        <v>0</v>
      </c>
      <c r="K36" s="200"/>
      <c r="L36" s="200"/>
      <c r="M36" s="200"/>
      <c r="N36" s="200"/>
      <c r="O36" s="1713"/>
      <c r="P36" s="1361"/>
      <c r="Q36" s="1713"/>
      <c r="R36" s="200"/>
      <c r="S36" s="1361"/>
    </row>
    <row r="37" spans="1:19" x14ac:dyDescent="0.2">
      <c r="A37" s="552">
        <f t="shared" si="0"/>
        <v>29</v>
      </c>
      <c r="B37" s="123" t="s">
        <v>23</v>
      </c>
      <c r="C37" s="1336">
        <f>C35-L35</f>
        <v>-214880</v>
      </c>
      <c r="D37" s="1336">
        <f>D35-M35</f>
        <v>290583</v>
      </c>
      <c r="E37" s="1356">
        <f>E35-N35</f>
        <v>75703</v>
      </c>
      <c r="F37" s="1712">
        <f>F35-O35</f>
        <v>-151562</v>
      </c>
      <c r="G37" s="1356">
        <f>G35-P35</f>
        <v>-56325</v>
      </c>
      <c r="H37" s="1336">
        <f>H35-Q35</f>
        <v>-366442</v>
      </c>
      <c r="I37" s="1336">
        <f>I35-R35</f>
        <v>234258</v>
      </c>
      <c r="J37" s="1356">
        <f>J35-S35</f>
        <v>-132184</v>
      </c>
      <c r="K37" s="1349"/>
      <c r="L37" s="1349"/>
      <c r="M37" s="1349"/>
      <c r="N37" s="1349"/>
      <c r="O37" s="1713"/>
      <c r="P37" s="1361"/>
      <c r="Q37" s="1713"/>
      <c r="R37" s="200"/>
      <c r="S37" s="1361"/>
    </row>
    <row r="38" spans="1:19" s="10" customFormat="1" x14ac:dyDescent="0.2">
      <c r="A38" s="552">
        <f t="shared" si="0"/>
        <v>30</v>
      </c>
      <c r="B38" s="1330"/>
      <c r="C38" s="200"/>
      <c r="D38" s="200"/>
      <c r="E38" s="1361"/>
      <c r="F38" s="1713"/>
      <c r="G38" s="1361"/>
      <c r="H38" s="345"/>
      <c r="I38" s="193"/>
      <c r="J38" s="339"/>
      <c r="K38" s="200"/>
      <c r="L38" s="200"/>
      <c r="M38" s="200"/>
      <c r="N38" s="200"/>
      <c r="O38" s="1712"/>
      <c r="P38" s="1356"/>
      <c r="Q38" s="200"/>
      <c r="R38" s="200"/>
      <c r="S38" s="1361"/>
    </row>
    <row r="39" spans="1:19" s="10" customFormat="1" x14ac:dyDescent="0.2">
      <c r="A39" s="552">
        <f t="shared" si="0"/>
        <v>31</v>
      </c>
      <c r="B39" s="1337" t="s">
        <v>53</v>
      </c>
      <c r="C39" s="1332"/>
      <c r="D39" s="1332"/>
      <c r="E39" s="361"/>
      <c r="F39" s="1714"/>
      <c r="G39" s="361"/>
      <c r="H39" s="193"/>
      <c r="I39" s="193"/>
      <c r="J39" s="339"/>
      <c r="K39" s="1332" t="s">
        <v>33</v>
      </c>
      <c r="L39" s="1336"/>
      <c r="M39" s="1336"/>
      <c r="N39" s="1336"/>
      <c r="O39" s="1712"/>
      <c r="P39" s="1356"/>
      <c r="Q39" s="200"/>
      <c r="R39" s="200"/>
      <c r="S39" s="1361"/>
    </row>
    <row r="40" spans="1:19" s="10" customFormat="1" x14ac:dyDescent="0.2">
      <c r="A40" s="552">
        <f t="shared" si="0"/>
        <v>32</v>
      </c>
      <c r="B40" s="1338" t="s">
        <v>685</v>
      </c>
      <c r="C40" s="1332"/>
      <c r="D40" s="1332"/>
      <c r="E40" s="361"/>
      <c r="F40" s="1332"/>
      <c r="G40" s="361"/>
      <c r="H40" s="193"/>
      <c r="I40" s="193"/>
      <c r="J40" s="339"/>
      <c r="K40" s="1343" t="s">
        <v>4</v>
      </c>
      <c r="L40" s="1336"/>
      <c r="M40" s="1350"/>
      <c r="N40" s="1350"/>
      <c r="O40" s="1712"/>
      <c r="P40" s="1356"/>
      <c r="Q40" s="200"/>
      <c r="R40" s="200"/>
      <c r="S40" s="1361"/>
    </row>
    <row r="41" spans="1:19" s="10" customFormat="1" ht="22.5" customHeight="1" x14ac:dyDescent="0.2">
      <c r="A41" s="1339">
        <f t="shared" si="0"/>
        <v>33</v>
      </c>
      <c r="B41" s="1340" t="s">
        <v>1012</v>
      </c>
      <c r="C41" s="1341">
        <v>634227</v>
      </c>
      <c r="D41" s="1377"/>
      <c r="E41" s="1381">
        <f>SUM(C41:D41)</f>
        <v>634227</v>
      </c>
      <c r="F41" s="1378"/>
      <c r="G41" s="1381"/>
      <c r="H41" s="193">
        <f t="shared" si="2"/>
        <v>634227</v>
      </c>
      <c r="I41" s="193">
        <f t="shared" si="3"/>
        <v>0</v>
      </c>
      <c r="J41" s="339">
        <f t="shared" si="4"/>
        <v>634227</v>
      </c>
      <c r="K41" s="76" t="s">
        <v>3</v>
      </c>
      <c r="L41" s="1336"/>
      <c r="M41" s="1336"/>
      <c r="N41" s="1336"/>
      <c r="O41" s="1712"/>
      <c r="P41" s="1356"/>
      <c r="Q41" s="200"/>
      <c r="R41" s="200"/>
      <c r="S41" s="1361"/>
    </row>
    <row r="42" spans="1:19" x14ac:dyDescent="0.2">
      <c r="A42" s="552">
        <f t="shared" si="0"/>
        <v>34</v>
      </c>
      <c r="B42" s="92" t="s">
        <v>687</v>
      </c>
      <c r="C42" s="1342"/>
      <c r="D42" s="1343"/>
      <c r="E42" s="1358">
        <f>SUM(C42:D42)</f>
        <v>0</v>
      </c>
      <c r="F42" s="1343"/>
      <c r="G42" s="1358"/>
      <c r="H42" s="193"/>
      <c r="I42" s="193"/>
      <c r="J42" s="339"/>
      <c r="K42" s="193" t="s">
        <v>5</v>
      </c>
      <c r="L42" s="1336"/>
      <c r="M42" s="1336"/>
      <c r="N42" s="1336"/>
      <c r="O42" s="1713"/>
      <c r="P42" s="1361"/>
      <c r="Q42" s="200"/>
      <c r="R42" s="200"/>
      <c r="S42" s="1361"/>
    </row>
    <row r="43" spans="1:19" x14ac:dyDescent="0.2">
      <c r="A43" s="552">
        <f t="shared" si="0"/>
        <v>35</v>
      </c>
      <c r="B43" s="92" t="s">
        <v>208</v>
      </c>
      <c r="C43" s="193"/>
      <c r="D43" s="193"/>
      <c r="E43" s="339"/>
      <c r="F43" s="193"/>
      <c r="G43" s="339"/>
      <c r="H43" s="193"/>
      <c r="I43" s="193"/>
      <c r="J43" s="339"/>
      <c r="K43" s="193" t="s">
        <v>6</v>
      </c>
      <c r="L43" s="1336"/>
      <c r="M43" s="1336"/>
      <c r="N43" s="1336"/>
      <c r="O43" s="1713"/>
      <c r="P43" s="1361"/>
      <c r="Q43" s="200"/>
      <c r="R43" s="200"/>
      <c r="S43" s="1361"/>
    </row>
    <row r="44" spans="1:19" x14ac:dyDescent="0.2">
      <c r="A44" s="552">
        <f t="shared" si="0"/>
        <v>36</v>
      </c>
      <c r="B44" s="1345" t="s">
        <v>209</v>
      </c>
      <c r="C44" s="193">
        <v>336807</v>
      </c>
      <c r="D44" s="193">
        <v>295138</v>
      </c>
      <c r="E44" s="339">
        <f>C44+D44</f>
        <v>631945</v>
      </c>
      <c r="F44" s="193">
        <v>171978</v>
      </c>
      <c r="G44" s="339">
        <v>55040</v>
      </c>
      <c r="H44" s="193">
        <f t="shared" si="2"/>
        <v>508785</v>
      </c>
      <c r="I44" s="193">
        <f t="shared" si="3"/>
        <v>350178</v>
      </c>
      <c r="J44" s="339">
        <f t="shared" si="4"/>
        <v>858963</v>
      </c>
      <c r="K44" s="193" t="s">
        <v>7</v>
      </c>
      <c r="L44" s="1336"/>
      <c r="M44" s="1336"/>
      <c r="N44" s="1336"/>
      <c r="O44" s="1713"/>
      <c r="P44" s="1361"/>
      <c r="Q44" s="200"/>
      <c r="R44" s="200"/>
      <c r="S44" s="1361"/>
    </row>
    <row r="45" spans="1:19" x14ac:dyDescent="0.2">
      <c r="A45" s="552">
        <f t="shared" si="0"/>
        <v>37</v>
      </c>
      <c r="B45" s="1345" t="s">
        <v>961</v>
      </c>
      <c r="C45" s="193"/>
      <c r="D45" s="193"/>
      <c r="E45" s="339"/>
      <c r="F45" s="193"/>
      <c r="G45" s="339"/>
      <c r="H45" s="193"/>
      <c r="I45" s="193"/>
      <c r="J45" s="339"/>
      <c r="K45" s="193"/>
      <c r="L45" s="1336"/>
      <c r="M45" s="1336"/>
      <c r="N45" s="1336"/>
      <c r="O45" s="1713"/>
      <c r="P45" s="1361"/>
      <c r="Q45" s="200"/>
      <c r="R45" s="200"/>
      <c r="S45" s="1361"/>
    </row>
    <row r="46" spans="1:19" x14ac:dyDescent="0.2">
      <c r="A46" s="552">
        <f t="shared" si="0"/>
        <v>38</v>
      </c>
      <c r="B46" s="92" t="s">
        <v>210</v>
      </c>
      <c r="C46" s="193">
        <v>927</v>
      </c>
      <c r="D46" s="193"/>
      <c r="E46" s="339">
        <f>C46+D46</f>
        <v>927</v>
      </c>
      <c r="F46" s="193">
        <v>579</v>
      </c>
      <c r="G46" s="339"/>
      <c r="H46" s="193">
        <f t="shared" si="2"/>
        <v>1506</v>
      </c>
      <c r="I46" s="193">
        <f t="shared" si="3"/>
        <v>0</v>
      </c>
      <c r="J46" s="339">
        <f t="shared" si="4"/>
        <v>1506</v>
      </c>
      <c r="K46" s="193" t="s">
        <v>8</v>
      </c>
      <c r="L46" s="1336"/>
      <c r="M46" s="1336"/>
      <c r="N46" s="200"/>
      <c r="O46" s="1713"/>
      <c r="P46" s="1361"/>
      <c r="Q46" s="200"/>
      <c r="R46" s="200"/>
      <c r="S46" s="1361"/>
    </row>
    <row r="47" spans="1:19" x14ac:dyDescent="0.2">
      <c r="A47" s="552">
        <f t="shared" si="0"/>
        <v>39</v>
      </c>
      <c r="B47" s="92" t="s">
        <v>689</v>
      </c>
      <c r="C47" s="1332"/>
      <c r="D47" s="1332"/>
      <c r="E47" s="361"/>
      <c r="F47" s="1332"/>
      <c r="G47" s="361"/>
      <c r="H47" s="193"/>
      <c r="I47" s="193"/>
      <c r="J47" s="339"/>
      <c r="K47" s="193" t="s">
        <v>272</v>
      </c>
      <c r="L47" s="200">
        <v>30797</v>
      </c>
      <c r="M47" s="200">
        <v>4260</v>
      </c>
      <c r="N47" s="200">
        <f>SUM(L47:M47)</f>
        <v>35057</v>
      </c>
      <c r="O47" s="1713">
        <v>579</v>
      </c>
      <c r="P47" s="1361"/>
      <c r="Q47" s="200">
        <f>L47+O47</f>
        <v>31376</v>
      </c>
      <c r="R47" s="200">
        <f>M47+P47</f>
        <v>4260</v>
      </c>
      <c r="S47" s="1361">
        <f t="shared" si="1"/>
        <v>35636</v>
      </c>
    </row>
    <row r="48" spans="1:19" x14ac:dyDescent="0.2">
      <c r="A48" s="552">
        <f t="shared" si="0"/>
        <v>40</v>
      </c>
      <c r="B48" s="92" t="s">
        <v>690</v>
      </c>
      <c r="C48" s="193"/>
      <c r="D48" s="193"/>
      <c r="E48" s="339"/>
      <c r="F48" s="193"/>
      <c r="G48" s="339"/>
      <c r="H48" s="193"/>
      <c r="I48" s="193"/>
      <c r="J48" s="339"/>
      <c r="K48" s="193" t="s">
        <v>238</v>
      </c>
      <c r="L48" s="200"/>
      <c r="M48" s="200"/>
      <c r="N48" s="200"/>
      <c r="O48" s="1713"/>
      <c r="P48" s="1361"/>
      <c r="Q48" s="200"/>
      <c r="R48" s="200"/>
      <c r="S48" s="1361"/>
    </row>
    <row r="49" spans="1:19" x14ac:dyDescent="0.2">
      <c r="A49" s="552">
        <f t="shared" si="0"/>
        <v>41</v>
      </c>
      <c r="B49" s="92" t="s">
        <v>691</v>
      </c>
      <c r="C49" s="193"/>
      <c r="D49" s="193"/>
      <c r="E49" s="339"/>
      <c r="F49" s="193"/>
      <c r="G49" s="339"/>
      <c r="H49" s="193"/>
      <c r="I49" s="193"/>
      <c r="J49" s="339"/>
      <c r="K49" s="1346" t="s">
        <v>239</v>
      </c>
      <c r="L49" s="200">
        <f>'pü.mérleg Hivatal'!D48+'püm. GAMESZ. '!C48+'püm-TASZII.'!C48+püm.Brunszvik!C48+'püm Festetics'!C48</f>
        <v>718951</v>
      </c>
      <c r="M49" s="200">
        <f>'pü.mérleg Hivatal'!E48+'püm. GAMESZ. '!D48+'püm-TASZII.'!D48+püm.Brunszvik!D48+'püm Festetics'!D48</f>
        <v>534626</v>
      </c>
      <c r="N49" s="1361">
        <f>SUM(L49:M49)</f>
        <v>1253577</v>
      </c>
      <c r="O49" s="200">
        <f>'pü.mérleg Hivatal'!G48+'püm. GAMESZ. '!F48+püm.Brunszvik!F48+'püm Festetics'!F48+'püm-TASZII.'!F48</f>
        <v>20416</v>
      </c>
      <c r="P49" s="1361">
        <f>'pü.mérleg Hivatal'!H48+'püm. GAMESZ. '!G48+püm.Brunszvik!G48+'püm Festetics'!G48+'püm-TASZII.'!G48</f>
        <v>-980</v>
      </c>
      <c r="Q49" s="200">
        <f>L49+O49</f>
        <v>739367</v>
      </c>
      <c r="R49" s="200">
        <f>M49+P49</f>
        <v>533646</v>
      </c>
      <c r="S49" s="1361">
        <f t="shared" si="1"/>
        <v>1273013</v>
      </c>
    </row>
    <row r="50" spans="1:19" x14ac:dyDescent="0.2">
      <c r="A50" s="552">
        <f t="shared" si="0"/>
        <v>42</v>
      </c>
      <c r="B50" s="92" t="s">
        <v>0</v>
      </c>
      <c r="C50" s="193"/>
      <c r="D50" s="193"/>
      <c r="E50" s="339"/>
      <c r="F50" s="193"/>
      <c r="G50" s="339"/>
      <c r="H50" s="193"/>
      <c r="I50" s="193"/>
      <c r="J50" s="339"/>
      <c r="K50" s="1346" t="s">
        <v>240</v>
      </c>
      <c r="L50" s="200">
        <f>'pü.mérleg Hivatal'!D49+'püm. GAMESZ. '!C49+'püm-TASZII.'!C49+püm.Brunszvik!C49+'püm Festetics'!C49</f>
        <v>7333</v>
      </c>
      <c r="M50" s="200">
        <f>'pü.mérleg Hivatal'!E49+'püm. GAMESZ. '!D49+püm.Brunszvik!D49+'püm Festetics'!D49+'püm-TASZII.'!D49</f>
        <v>46835</v>
      </c>
      <c r="N50" s="1361">
        <f>'pü.mérleg Hivatal'!F49+'püm. GAMESZ. '!E49+'püm-TASZII.'!E49+püm.Brunszvik!E49+'püm Festetics'!E49</f>
        <v>54168</v>
      </c>
      <c r="O50" s="200">
        <f>'pü.mérleg Hivatal'!G49+'püm. GAMESZ. '!F49+püm.Brunszvik!F49+'püm Festetics'!F49+'püm-TASZII.'!F49</f>
        <v>0</v>
      </c>
      <c r="P50" s="1361">
        <f>'pü.mérleg Hivatal'!H49+'püm. GAMESZ. '!G49+püm.Brunszvik!G49+'püm Festetics'!G49+'püm-TASZII.'!G49</f>
        <v>-305</v>
      </c>
      <c r="Q50" s="200">
        <f>L50+O50</f>
        <v>7333</v>
      </c>
      <c r="R50" s="200">
        <f>M50+P50</f>
        <v>46530</v>
      </c>
      <c r="S50" s="1361">
        <f t="shared" si="1"/>
        <v>53863</v>
      </c>
    </row>
    <row r="51" spans="1:19" x14ac:dyDescent="0.2">
      <c r="A51" s="552">
        <f t="shared" si="0"/>
        <v>43</v>
      </c>
      <c r="B51" s="92" t="s">
        <v>1</v>
      </c>
      <c r="C51" s="193"/>
      <c r="D51" s="193"/>
      <c r="E51" s="339">
        <f>SUM(C51:D51)</f>
        <v>0</v>
      </c>
      <c r="F51" s="193"/>
      <c r="G51" s="339"/>
      <c r="H51" s="193"/>
      <c r="I51" s="193"/>
      <c r="J51" s="339"/>
      <c r="K51" s="193" t="s">
        <v>13</v>
      </c>
      <c r="L51" s="1379"/>
      <c r="M51" s="1379"/>
      <c r="N51" s="1379"/>
      <c r="O51" s="1713"/>
      <c r="P51" s="1361"/>
      <c r="Q51" s="200"/>
      <c r="R51" s="200"/>
      <c r="S51" s="1361"/>
    </row>
    <row r="52" spans="1:19" x14ac:dyDescent="0.2">
      <c r="A52" s="552">
        <f t="shared" si="0"/>
        <v>44</v>
      </c>
      <c r="B52" s="92"/>
      <c r="C52" s="193"/>
      <c r="D52" s="193"/>
      <c r="E52" s="339"/>
      <c r="F52" s="193"/>
      <c r="G52" s="339"/>
      <c r="H52" s="193"/>
      <c r="I52" s="193"/>
      <c r="J52" s="339"/>
      <c r="K52" s="193" t="s">
        <v>14</v>
      </c>
      <c r="L52" s="200"/>
      <c r="M52" s="200"/>
      <c r="N52" s="200"/>
      <c r="O52" s="1713"/>
      <c r="P52" s="1361"/>
      <c r="Q52" s="200"/>
      <c r="R52" s="200"/>
      <c r="S52" s="1361"/>
    </row>
    <row r="53" spans="1:19" x14ac:dyDescent="0.2">
      <c r="A53" s="552">
        <f t="shared" si="0"/>
        <v>45</v>
      </c>
      <c r="B53" s="92"/>
      <c r="C53" s="193"/>
      <c r="D53" s="193"/>
      <c r="E53" s="339"/>
      <c r="F53" s="193"/>
      <c r="G53" s="339"/>
      <c r="H53" s="193"/>
      <c r="I53" s="193"/>
      <c r="J53" s="339"/>
      <c r="K53" s="193" t="s">
        <v>15</v>
      </c>
      <c r="L53" s="200"/>
      <c r="M53" s="200"/>
      <c r="N53" s="200"/>
      <c r="O53" s="1713"/>
      <c r="P53" s="1361"/>
      <c r="Q53" s="200"/>
      <c r="R53" s="200"/>
      <c r="S53" s="1361"/>
    </row>
    <row r="54" spans="1:19" ht="12" thickBot="1" x14ac:dyDescent="0.25">
      <c r="A54" s="552">
        <f t="shared" si="0"/>
        <v>46</v>
      </c>
      <c r="B54" s="123" t="s">
        <v>449</v>
      </c>
      <c r="C54" s="1332">
        <f>SUM(C40:C52)</f>
        <v>971961</v>
      </c>
      <c r="D54" s="1332">
        <f>SUM(D40:D52)</f>
        <v>295138</v>
      </c>
      <c r="E54" s="361">
        <f>SUM(E40:E52)</f>
        <v>1267099</v>
      </c>
      <c r="F54" s="1332">
        <f>SUM(F41:F53)</f>
        <v>172557</v>
      </c>
      <c r="G54" s="1356">
        <f>SUM(G41:G53)</f>
        <v>55040</v>
      </c>
      <c r="H54" s="1336">
        <f t="shared" si="2"/>
        <v>1144518</v>
      </c>
      <c r="I54" s="1336">
        <f t="shared" si="3"/>
        <v>350178</v>
      </c>
      <c r="J54" s="1356">
        <f t="shared" si="4"/>
        <v>1494696</v>
      </c>
      <c r="K54" s="1332" t="s">
        <v>442</v>
      </c>
      <c r="L54" s="1336">
        <f t="shared" ref="L54:N54" si="14">SUM(L40:L53)</f>
        <v>757081</v>
      </c>
      <c r="M54" s="1336">
        <f t="shared" si="14"/>
        <v>585721</v>
      </c>
      <c r="N54" s="1336">
        <f t="shared" si="14"/>
        <v>1342802</v>
      </c>
      <c r="O54" s="1712">
        <f>SUM(O47:O53)</f>
        <v>20995</v>
      </c>
      <c r="P54" s="1356">
        <f>SUM(P47:P53)</f>
        <v>-1285</v>
      </c>
      <c r="Q54" s="1336">
        <f>L54+O54</f>
        <v>778076</v>
      </c>
      <c r="R54" s="1336">
        <f>M54+P54</f>
        <v>584436</v>
      </c>
      <c r="S54" s="1356">
        <f t="shared" si="1"/>
        <v>1362512</v>
      </c>
    </row>
    <row r="55" spans="1:19" ht="12" thickBot="1" x14ac:dyDescent="0.25">
      <c r="A55" s="684">
        <f t="shared" si="0"/>
        <v>47</v>
      </c>
      <c r="B55" s="683" t="s">
        <v>444</v>
      </c>
      <c r="C55" s="682">
        <f>C35+C54</f>
        <v>2283637</v>
      </c>
      <c r="D55" s="682">
        <f>D35+D54</f>
        <v>1429780</v>
      </c>
      <c r="E55" s="772">
        <f>E35+E54</f>
        <v>3713417</v>
      </c>
      <c r="F55" s="772">
        <f>F54+F35</f>
        <v>186865</v>
      </c>
      <c r="G55" s="772">
        <f t="shared" ref="G55:J55" si="15">G54+G35</f>
        <v>68045</v>
      </c>
      <c r="H55" s="772">
        <f t="shared" si="15"/>
        <v>2470502</v>
      </c>
      <c r="I55" s="772">
        <f t="shared" si="15"/>
        <v>1497825</v>
      </c>
      <c r="J55" s="772">
        <f t="shared" si="15"/>
        <v>3968327</v>
      </c>
      <c r="K55" s="685" t="s">
        <v>443</v>
      </c>
      <c r="L55" s="682">
        <f t="shared" ref="L55:N55" si="16">L35+L54</f>
        <v>2283637</v>
      </c>
      <c r="M55" s="682">
        <f t="shared" si="16"/>
        <v>1429780</v>
      </c>
      <c r="N55" s="772">
        <f t="shared" si="16"/>
        <v>3713417</v>
      </c>
      <c r="O55" s="682">
        <f>O54+O35</f>
        <v>186865</v>
      </c>
      <c r="P55" s="682">
        <f t="shared" ref="P55:S55" si="17">P54+P35</f>
        <v>68045</v>
      </c>
      <c r="Q55" s="682">
        <f t="shared" si="17"/>
        <v>2470502</v>
      </c>
      <c r="R55" s="682">
        <f t="shared" si="17"/>
        <v>1497825</v>
      </c>
      <c r="S55" s="682">
        <f t="shared" si="17"/>
        <v>3968327</v>
      </c>
    </row>
    <row r="56" spans="1:19" x14ac:dyDescent="0.2">
      <c r="B56" s="125"/>
      <c r="C56" s="124"/>
      <c r="D56" s="124"/>
      <c r="E56" s="124"/>
      <c r="F56" s="124"/>
      <c r="G56" s="124"/>
      <c r="H56" s="124"/>
      <c r="I56" s="124"/>
      <c r="J56" s="124"/>
      <c r="K56" s="121"/>
      <c r="L56" s="124"/>
      <c r="M56" s="124"/>
      <c r="N56" s="124"/>
    </row>
    <row r="57" spans="1:19" x14ac:dyDescent="0.2">
      <c r="O57" s="199"/>
    </row>
    <row r="60" spans="1:19" x14ac:dyDescent="0.2">
      <c r="I60" s="119"/>
    </row>
    <row r="62" spans="1:19" x14ac:dyDescent="0.2">
      <c r="M62" s="119"/>
    </row>
  </sheetData>
  <sheetProtection selectLockedCells="1" selectUnlockedCells="1"/>
  <mergeCells count="15">
    <mergeCell ref="A6:A8"/>
    <mergeCell ref="A5:S5"/>
    <mergeCell ref="L7:N7"/>
    <mergeCell ref="B6:B7"/>
    <mergeCell ref="K6:K7"/>
    <mergeCell ref="C7:E7"/>
    <mergeCell ref="F7:G7"/>
    <mergeCell ref="H7:J7"/>
    <mergeCell ref="C6:J6"/>
    <mergeCell ref="B1:S1"/>
    <mergeCell ref="B3:S3"/>
    <mergeCell ref="B4:S4"/>
    <mergeCell ref="O7:P7"/>
    <mergeCell ref="Q7:S7"/>
    <mergeCell ref="L6:S6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80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U55"/>
  <sheetViews>
    <sheetView topLeftCell="A16" zoomScale="120" workbookViewId="0">
      <selection activeCell="I59" sqref="I59"/>
    </sheetView>
  </sheetViews>
  <sheetFormatPr defaultColWidth="9.140625" defaultRowHeight="11.25" x14ac:dyDescent="0.2"/>
  <cols>
    <col min="1" max="1" width="2.5703125" style="9" customWidth="1"/>
    <col min="2" max="2" width="3.7109375" style="113" customWidth="1"/>
    <col min="3" max="3" width="36.140625" style="113" customWidth="1"/>
    <col min="4" max="4" width="11.140625" style="114" customWidth="1"/>
    <col min="5" max="5" width="11.28515625" style="114" customWidth="1"/>
    <col min="6" max="6" width="11" style="114" customWidth="1"/>
    <col min="7" max="7" width="11.140625" style="114" customWidth="1"/>
    <col min="8" max="8" width="11" style="114" customWidth="1"/>
    <col min="9" max="9" width="11.140625" style="114" customWidth="1"/>
    <col min="10" max="11" width="11" style="114" customWidth="1"/>
    <col min="12" max="12" width="36.140625" style="114" customWidth="1"/>
    <col min="13" max="13" width="11.140625" style="114" customWidth="1"/>
    <col min="14" max="14" width="11.28515625" style="114" customWidth="1"/>
    <col min="15" max="15" width="11.140625" style="114" customWidth="1"/>
    <col min="16" max="17" width="11" style="9" customWidth="1"/>
    <col min="18" max="16384" width="9.140625" style="9"/>
  </cols>
  <sheetData>
    <row r="1" spans="1:20" ht="12.75" customHeight="1" x14ac:dyDescent="0.2">
      <c r="B1" s="1409" t="s">
        <v>1348</v>
      </c>
      <c r="C1" s="1409"/>
      <c r="D1" s="1409"/>
      <c r="E1" s="1409"/>
      <c r="F1" s="1409"/>
      <c r="G1" s="1409"/>
      <c r="H1" s="1409"/>
      <c r="I1" s="1409"/>
      <c r="J1" s="1409"/>
      <c r="K1" s="1409"/>
      <c r="L1" s="1409"/>
      <c r="M1" s="1409"/>
      <c r="N1" s="1409"/>
      <c r="O1" s="1409"/>
      <c r="P1" s="1409"/>
      <c r="Q1" s="1409"/>
      <c r="R1" s="1409"/>
      <c r="S1" s="1409"/>
      <c r="T1" s="1409"/>
    </row>
    <row r="2" spans="1:20" x14ac:dyDescent="0.2">
      <c r="L2" s="115"/>
      <c r="M2" s="115"/>
      <c r="N2" s="115"/>
      <c r="O2" s="115"/>
    </row>
    <row r="3" spans="1:20" x14ac:dyDescent="0.2">
      <c r="L3" s="115"/>
      <c r="M3" s="115"/>
      <c r="N3" s="115"/>
      <c r="O3" s="115"/>
    </row>
    <row r="4" spans="1:20" s="95" customFormat="1" ht="12.75" customHeight="1" x14ac:dyDescent="0.2">
      <c r="A4" s="1414" t="s">
        <v>77</v>
      </c>
      <c r="B4" s="1414"/>
      <c r="C4" s="1414"/>
      <c r="D4" s="1414"/>
      <c r="E4" s="1414"/>
      <c r="F4" s="1414"/>
      <c r="G4" s="1414"/>
      <c r="H4" s="1414"/>
      <c r="I4" s="1414"/>
      <c r="J4" s="1414"/>
      <c r="K4" s="1414"/>
      <c r="L4" s="1414"/>
      <c r="M4" s="1414"/>
      <c r="N4" s="1414"/>
      <c r="O4" s="1414"/>
      <c r="P4" s="1414"/>
      <c r="Q4" s="1414"/>
      <c r="R4" s="1414"/>
      <c r="S4" s="1414"/>
      <c r="T4" s="1414"/>
    </row>
    <row r="5" spans="1:20" s="95" customFormat="1" ht="12.75" customHeight="1" x14ac:dyDescent="0.2">
      <c r="A5" s="1551" t="s">
        <v>182</v>
      </c>
      <c r="B5" s="1551"/>
      <c r="C5" s="1551"/>
      <c r="D5" s="1551"/>
      <c r="E5" s="1551"/>
      <c r="F5" s="1551"/>
      <c r="G5" s="1551"/>
      <c r="H5" s="1551"/>
      <c r="I5" s="1551"/>
      <c r="J5" s="1551"/>
      <c r="K5" s="1551"/>
      <c r="L5" s="1551"/>
      <c r="M5" s="1551"/>
      <c r="N5" s="1551"/>
      <c r="O5" s="1551"/>
      <c r="P5" s="1551"/>
      <c r="Q5" s="1551"/>
      <c r="R5" s="1551"/>
      <c r="S5" s="1551"/>
      <c r="T5" s="1551"/>
    </row>
    <row r="6" spans="1:20" s="95" customFormat="1" ht="12.75" customHeight="1" x14ac:dyDescent="0.2">
      <c r="A6" s="1414" t="s">
        <v>1161</v>
      </c>
      <c r="B6" s="1414"/>
      <c r="C6" s="1414"/>
      <c r="D6" s="1414"/>
      <c r="E6" s="1414"/>
      <c r="F6" s="1414"/>
      <c r="G6" s="1414"/>
      <c r="H6" s="1414"/>
      <c r="I6" s="1414"/>
      <c r="J6" s="1414"/>
      <c r="K6" s="1414"/>
      <c r="L6" s="1414"/>
      <c r="M6" s="1414"/>
      <c r="N6" s="1414"/>
      <c r="O6" s="1414"/>
      <c r="P6" s="1414"/>
      <c r="Q6" s="1414"/>
      <c r="R6" s="1414"/>
      <c r="S6" s="1414"/>
      <c r="T6" s="1414"/>
    </row>
    <row r="7" spans="1:20" s="95" customFormat="1" ht="12.75" customHeight="1" x14ac:dyDescent="0.2">
      <c r="B7" s="1416" t="s">
        <v>303</v>
      </c>
      <c r="C7" s="1416"/>
      <c r="D7" s="1416"/>
      <c r="E7" s="1416"/>
      <c r="F7" s="1416"/>
      <c r="G7" s="1416"/>
      <c r="H7" s="1416"/>
      <c r="I7" s="1416"/>
      <c r="J7" s="1416"/>
      <c r="K7" s="1416"/>
      <c r="L7" s="1416"/>
      <c r="M7" s="1416"/>
      <c r="N7" s="1416"/>
      <c r="O7" s="1416"/>
      <c r="P7" s="1416"/>
      <c r="Q7" s="1416"/>
      <c r="R7" s="1416"/>
      <c r="S7" s="1416"/>
      <c r="T7" s="1416"/>
    </row>
    <row r="8" spans="1:20" s="95" customFormat="1" ht="12.75" customHeight="1" x14ac:dyDescent="0.2">
      <c r="B8" s="1546" t="s">
        <v>56</v>
      </c>
      <c r="C8" s="1436" t="s">
        <v>57</v>
      </c>
      <c r="D8" s="1437" t="s">
        <v>58</v>
      </c>
      <c r="E8" s="1438"/>
      <c r="F8" s="1438"/>
      <c r="G8" s="1438"/>
      <c r="H8" s="1438"/>
      <c r="I8" s="1438"/>
      <c r="J8" s="1438"/>
      <c r="K8" s="1550"/>
      <c r="L8" s="1549" t="s">
        <v>59</v>
      </c>
      <c r="M8" s="1417" t="s">
        <v>60</v>
      </c>
      <c r="N8" s="1417"/>
      <c r="O8" s="1417"/>
      <c r="P8" s="1417"/>
      <c r="Q8" s="1417"/>
      <c r="R8" s="1417"/>
      <c r="S8" s="1417"/>
      <c r="T8" s="1417"/>
    </row>
    <row r="9" spans="1:20" s="95" customFormat="1" ht="13.5" customHeight="1" x14ac:dyDescent="0.2">
      <c r="B9" s="1546"/>
      <c r="C9" s="1436"/>
      <c r="D9" s="1431" t="s">
        <v>1344</v>
      </c>
      <c r="E9" s="1431"/>
      <c r="F9" s="1432"/>
      <c r="G9" s="1413" t="s">
        <v>1337</v>
      </c>
      <c r="H9" s="1413"/>
      <c r="I9" s="1413" t="s">
        <v>1338</v>
      </c>
      <c r="J9" s="1413"/>
      <c r="K9" s="1413"/>
      <c r="L9" s="1549"/>
      <c r="M9" s="1548" t="s">
        <v>1344</v>
      </c>
      <c r="N9" s="1548"/>
      <c r="O9" s="1548"/>
      <c r="P9" s="1545" t="s">
        <v>1337</v>
      </c>
      <c r="Q9" s="1545"/>
      <c r="R9" s="1545" t="s">
        <v>1338</v>
      </c>
      <c r="S9" s="1545"/>
      <c r="T9" s="1545"/>
    </row>
    <row r="10" spans="1:20" s="96" customFormat="1" ht="48.75" customHeight="1" x14ac:dyDescent="0.2">
      <c r="B10" s="1547"/>
      <c r="C10" s="1382" t="s">
        <v>61</v>
      </c>
      <c r="D10" s="1383" t="s">
        <v>62</v>
      </c>
      <c r="E10" s="1383" t="s">
        <v>63</v>
      </c>
      <c r="F10" s="1384" t="s">
        <v>64</v>
      </c>
      <c r="G10" s="1383" t="s">
        <v>62</v>
      </c>
      <c r="H10" s="1385" t="s">
        <v>63</v>
      </c>
      <c r="I10" s="1386" t="s">
        <v>62</v>
      </c>
      <c r="J10" s="1383" t="s">
        <v>63</v>
      </c>
      <c r="K10" s="1384" t="s">
        <v>64</v>
      </c>
      <c r="L10" s="1387" t="s">
        <v>65</v>
      </c>
      <c r="M10" s="1383" t="s">
        <v>62</v>
      </c>
      <c r="N10" s="1383" t="s">
        <v>63</v>
      </c>
      <c r="O10" s="1383" t="s">
        <v>64</v>
      </c>
      <c r="P10" s="1383" t="s">
        <v>62</v>
      </c>
      <c r="Q10" s="1383" t="s">
        <v>63</v>
      </c>
      <c r="R10" s="1383" t="s">
        <v>62</v>
      </c>
      <c r="S10" s="1384" t="s">
        <v>63</v>
      </c>
      <c r="T10" s="1306" t="s">
        <v>64</v>
      </c>
    </row>
    <row r="11" spans="1:20" ht="11.45" customHeight="1" x14ac:dyDescent="0.2">
      <c r="B11" s="552">
        <v>1</v>
      </c>
      <c r="C11" s="1326" t="s">
        <v>24</v>
      </c>
      <c r="D11" s="121"/>
      <c r="E11" s="121"/>
      <c r="F11" s="1360"/>
      <c r="G11" s="121"/>
      <c r="H11" s="1360"/>
      <c r="I11" s="121"/>
      <c r="J11" s="121"/>
      <c r="K11" s="1360"/>
      <c r="L11" s="1337" t="s">
        <v>25</v>
      </c>
      <c r="M11" s="121"/>
      <c r="N11" s="121"/>
      <c r="O11" s="575"/>
      <c r="P11" s="199"/>
      <c r="Q11" s="1368"/>
      <c r="T11" s="1388"/>
    </row>
    <row r="12" spans="1:20" x14ac:dyDescent="0.2">
      <c r="B12" s="552">
        <f t="shared" ref="B12:B54" si="0">B11+1</f>
        <v>2</v>
      </c>
      <c r="C12" s="118" t="s">
        <v>35</v>
      </c>
      <c r="D12" s="92"/>
      <c r="E12" s="92"/>
      <c r="F12" s="328">
        <f>SUM(D12:E12)</f>
        <v>0</v>
      </c>
      <c r="G12" s="92"/>
      <c r="H12" s="328"/>
      <c r="I12" s="92"/>
      <c r="J12" s="92"/>
      <c r="K12" s="328"/>
      <c r="L12" s="92" t="s">
        <v>216</v>
      </c>
      <c r="M12" s="92">
        <v>97533</v>
      </c>
      <c r="N12" s="92">
        <v>82638</v>
      </c>
      <c r="O12" s="1396">
        <f>SUM(M12:N12)</f>
        <v>180171</v>
      </c>
      <c r="P12" s="200">
        <v>1042</v>
      </c>
      <c r="Q12" s="1361">
        <v>11687</v>
      </c>
      <c r="R12" s="198">
        <f>M12+P12</f>
        <v>98575</v>
      </c>
      <c r="S12" s="198">
        <f>N12+Q12</f>
        <v>94325</v>
      </c>
      <c r="T12" s="1361">
        <f>R12+S12</f>
        <v>192900</v>
      </c>
    </row>
    <row r="13" spans="1:20" x14ac:dyDescent="0.2">
      <c r="B13" s="552">
        <f t="shared" si="0"/>
        <v>3</v>
      </c>
      <c r="C13" s="118" t="s">
        <v>36</v>
      </c>
      <c r="D13" s="92"/>
      <c r="E13" s="92"/>
      <c r="F13" s="328">
        <f>SUM(D13:E13)</f>
        <v>0</v>
      </c>
      <c r="G13" s="92"/>
      <c r="H13" s="328"/>
      <c r="I13" s="92"/>
      <c r="J13" s="92"/>
      <c r="K13" s="328"/>
      <c r="L13" s="1345" t="s">
        <v>217</v>
      </c>
      <c r="M13" s="92">
        <v>21571</v>
      </c>
      <c r="N13" s="92">
        <v>17841</v>
      </c>
      <c r="O13" s="1396">
        <f>SUM(M13:N13)</f>
        <v>39412</v>
      </c>
      <c r="P13" s="200">
        <v>202</v>
      </c>
      <c r="Q13" s="1361">
        <v>2279</v>
      </c>
      <c r="R13" s="198">
        <f t="shared" ref="R13:R53" si="1">M13+P13</f>
        <v>21773</v>
      </c>
      <c r="S13" s="198">
        <f t="shared" ref="S13:S53" si="2">N13+Q13</f>
        <v>20120</v>
      </c>
      <c r="T13" s="1361">
        <f t="shared" ref="T13:T53" si="3">R13+S13</f>
        <v>41893</v>
      </c>
    </row>
    <row r="14" spans="1:20" x14ac:dyDescent="0.2">
      <c r="B14" s="552">
        <f t="shared" si="0"/>
        <v>4</v>
      </c>
      <c r="C14" s="118" t="s">
        <v>37</v>
      </c>
      <c r="D14" s="92">
        <f>'tám, végl. pe.átv  '!C49</f>
        <v>2800</v>
      </c>
      <c r="E14" s="92"/>
      <c r="F14" s="328">
        <f>SUM(D14:E14)</f>
        <v>2800</v>
      </c>
      <c r="G14" s="92">
        <v>1358</v>
      </c>
      <c r="H14" s="328"/>
      <c r="I14" s="92">
        <f>D14+G14</f>
        <v>4158</v>
      </c>
      <c r="J14" s="92">
        <f t="shared" ref="J14:J29" si="4">E14+H14</f>
        <v>0</v>
      </c>
      <c r="K14" s="328">
        <f>I14+J14</f>
        <v>4158</v>
      </c>
      <c r="L14" s="92" t="s">
        <v>218</v>
      </c>
      <c r="M14" s="92">
        <v>7475</v>
      </c>
      <c r="N14" s="92">
        <v>60091</v>
      </c>
      <c r="O14" s="1396">
        <f>SUM(M14:N14)</f>
        <v>67566</v>
      </c>
      <c r="P14" s="200">
        <v>195</v>
      </c>
      <c r="Q14" s="1361"/>
      <c r="R14" s="198">
        <f t="shared" si="1"/>
        <v>7670</v>
      </c>
      <c r="S14" s="198">
        <f t="shared" si="2"/>
        <v>60091</v>
      </c>
      <c r="T14" s="1361">
        <f t="shared" si="3"/>
        <v>67761</v>
      </c>
    </row>
    <row r="15" spans="1:20" ht="12" customHeight="1" x14ac:dyDescent="0.2">
      <c r="B15" s="552">
        <f t="shared" si="0"/>
        <v>5</v>
      </c>
      <c r="C15" s="1391"/>
      <c r="D15" s="92"/>
      <c r="E15" s="92"/>
      <c r="F15" s="328"/>
      <c r="G15" s="92"/>
      <c r="H15" s="328"/>
      <c r="I15" s="92"/>
      <c r="J15" s="92"/>
      <c r="K15" s="328"/>
      <c r="L15" s="92"/>
      <c r="M15" s="92"/>
      <c r="N15" s="92"/>
      <c r="O15" s="1396"/>
      <c r="P15" s="200"/>
      <c r="Q15" s="1361"/>
      <c r="R15" s="198"/>
      <c r="S15" s="198"/>
      <c r="T15" s="1361"/>
    </row>
    <row r="16" spans="1:20" x14ac:dyDescent="0.2">
      <c r="B16" s="552">
        <f t="shared" si="0"/>
        <v>6</v>
      </c>
      <c r="C16" s="118" t="s">
        <v>38</v>
      </c>
      <c r="D16" s="92"/>
      <c r="E16" s="92"/>
      <c r="F16" s="328">
        <f>SUM(D16:E16)</f>
        <v>0</v>
      </c>
      <c r="G16" s="92"/>
      <c r="H16" s="328"/>
      <c r="I16" s="92"/>
      <c r="J16" s="92"/>
      <c r="K16" s="328"/>
      <c r="L16" s="92" t="s">
        <v>28</v>
      </c>
      <c r="M16" s="119">
        <v>350</v>
      </c>
      <c r="N16" s="119">
        <f>'ellátottak hivatal'!F17</f>
        <v>0</v>
      </c>
      <c r="O16" s="1396">
        <f>SUM(M16:N16)</f>
        <v>350</v>
      </c>
      <c r="P16" s="200"/>
      <c r="Q16" s="1361"/>
      <c r="R16" s="198">
        <f t="shared" si="1"/>
        <v>350</v>
      </c>
      <c r="S16" s="198">
        <f t="shared" si="2"/>
        <v>0</v>
      </c>
      <c r="T16" s="1361">
        <f t="shared" si="3"/>
        <v>350</v>
      </c>
    </row>
    <row r="17" spans="2:20" x14ac:dyDescent="0.2">
      <c r="B17" s="552">
        <f t="shared" si="0"/>
        <v>7</v>
      </c>
      <c r="C17" s="118"/>
      <c r="D17" s="92"/>
      <c r="E17" s="92"/>
      <c r="F17" s="328"/>
      <c r="G17" s="92"/>
      <c r="H17" s="328"/>
      <c r="I17" s="92"/>
      <c r="J17" s="92"/>
      <c r="K17" s="328"/>
      <c r="L17" s="92" t="s">
        <v>30</v>
      </c>
      <c r="M17" s="119"/>
      <c r="N17" s="119"/>
      <c r="O17" s="1396"/>
      <c r="P17" s="200"/>
      <c r="Q17" s="1361"/>
      <c r="R17" s="198"/>
      <c r="S17" s="198"/>
      <c r="T17" s="1361"/>
    </row>
    <row r="18" spans="2:20" x14ac:dyDescent="0.2">
      <c r="B18" s="552">
        <f t="shared" si="0"/>
        <v>8</v>
      </c>
      <c r="C18" s="118" t="s">
        <v>39</v>
      </c>
      <c r="D18" s="92"/>
      <c r="E18" s="92"/>
      <c r="F18" s="328">
        <f>SUM(D18:E18)</f>
        <v>0</v>
      </c>
      <c r="G18" s="92"/>
      <c r="H18" s="328"/>
      <c r="I18" s="92"/>
      <c r="J18" s="92"/>
      <c r="K18" s="328"/>
      <c r="L18" s="92" t="s">
        <v>447</v>
      </c>
      <c r="M18" s="119">
        <f>mc.pe.átad!D68</f>
        <v>0</v>
      </c>
      <c r="N18" s="119">
        <f>mc.pe.átad!E68</f>
        <v>0</v>
      </c>
      <c r="O18" s="327">
        <f>mc.pe.átad!F68</f>
        <v>0</v>
      </c>
      <c r="P18" s="200">
        <v>13</v>
      </c>
      <c r="Q18" s="1361"/>
      <c r="R18" s="198">
        <f t="shared" si="1"/>
        <v>13</v>
      </c>
      <c r="S18" s="198">
        <f t="shared" si="2"/>
        <v>0</v>
      </c>
      <c r="T18" s="1361">
        <f t="shared" si="3"/>
        <v>13</v>
      </c>
    </row>
    <row r="19" spans="2:20" x14ac:dyDescent="0.2">
      <c r="B19" s="552">
        <f t="shared" si="0"/>
        <v>9</v>
      </c>
      <c r="C19" s="120" t="s">
        <v>40</v>
      </c>
      <c r="D19" s="1390"/>
      <c r="E19" s="1390"/>
      <c r="F19" s="1396"/>
      <c r="G19" s="1390"/>
      <c r="H19" s="1396"/>
      <c r="I19" s="92"/>
      <c r="J19" s="92"/>
      <c r="K19" s="328"/>
      <c r="L19" s="92" t="s">
        <v>446</v>
      </c>
      <c r="M19" s="119"/>
      <c r="N19" s="119"/>
      <c r="O19" s="327"/>
      <c r="P19" s="200">
        <v>9</v>
      </c>
      <c r="Q19" s="1361"/>
      <c r="R19" s="198">
        <f t="shared" si="1"/>
        <v>9</v>
      </c>
      <c r="S19" s="198">
        <f t="shared" si="2"/>
        <v>0</v>
      </c>
      <c r="T19" s="1361">
        <f t="shared" si="3"/>
        <v>9</v>
      </c>
    </row>
    <row r="20" spans="2:20" x14ac:dyDescent="0.2">
      <c r="B20" s="552">
        <f t="shared" si="0"/>
        <v>10</v>
      </c>
      <c r="C20" s="118" t="s">
        <v>195</v>
      </c>
      <c r="D20" s="1329">
        <f>'mük. bev.Önkor és Hivatal '!C80</f>
        <v>15</v>
      </c>
      <c r="E20" s="1329">
        <f>'mük. bev.Önkor és Hivatal '!D80</f>
        <v>402</v>
      </c>
      <c r="F20" s="1355">
        <f>SUM(D20:E20)</f>
        <v>417</v>
      </c>
      <c r="G20" s="1329"/>
      <c r="H20" s="1355"/>
      <c r="I20" s="92">
        <f t="shared" ref="I20:J53" si="5">D20+G20</f>
        <v>15</v>
      </c>
      <c r="J20" s="92">
        <f t="shared" si="4"/>
        <v>402</v>
      </c>
      <c r="K20" s="328">
        <f t="shared" ref="K20:K53" si="6">I20+J20</f>
        <v>417</v>
      </c>
      <c r="L20" s="92" t="s">
        <v>223</v>
      </c>
      <c r="M20" s="119"/>
      <c r="N20" s="119">
        <v>0</v>
      </c>
      <c r="O20" s="327">
        <f>N20+M20</f>
        <v>0</v>
      </c>
      <c r="P20" s="200"/>
      <c r="Q20" s="1361"/>
      <c r="R20" s="198"/>
      <c r="S20" s="198"/>
      <c r="T20" s="1361"/>
    </row>
    <row r="21" spans="2:20" x14ac:dyDescent="0.2">
      <c r="B21" s="552">
        <f t="shared" si="0"/>
        <v>11</v>
      </c>
      <c r="C21" s="1330"/>
      <c r="D21" s="1390"/>
      <c r="E21" s="1390"/>
      <c r="F21" s="1396"/>
      <c r="G21" s="1390"/>
      <c r="H21" s="1396"/>
      <c r="I21" s="92"/>
      <c r="J21" s="92"/>
      <c r="K21" s="328"/>
      <c r="L21" s="92" t="s">
        <v>439</v>
      </c>
      <c r="M21" s="119"/>
      <c r="N21" s="119"/>
      <c r="O21" s="327"/>
      <c r="P21" s="200"/>
      <c r="Q21" s="1361"/>
      <c r="R21" s="198"/>
      <c r="S21" s="198"/>
      <c r="T21" s="1361"/>
    </row>
    <row r="22" spans="2:20" s="97" customFormat="1" x14ac:dyDescent="0.2">
      <c r="B22" s="552">
        <f t="shared" si="0"/>
        <v>12</v>
      </c>
      <c r="C22" s="1330" t="s">
        <v>42</v>
      </c>
      <c r="D22" s="1390"/>
      <c r="E22" s="1390"/>
      <c r="F22" s="1396"/>
      <c r="G22" s="1390"/>
      <c r="H22" s="1396"/>
      <c r="I22" s="92"/>
      <c r="J22" s="92"/>
      <c r="K22" s="328"/>
      <c r="L22" s="92" t="s">
        <v>440</v>
      </c>
      <c r="M22" s="119"/>
      <c r="N22" s="119"/>
      <c r="O22" s="327"/>
      <c r="P22" s="1393"/>
      <c r="Q22" s="1398"/>
      <c r="R22" s="198"/>
      <c r="S22" s="198"/>
      <c r="T22" s="1361"/>
    </row>
    <row r="23" spans="2:20" s="97" customFormat="1" x14ac:dyDescent="0.2">
      <c r="B23" s="552">
        <f t="shared" si="0"/>
        <v>13</v>
      </c>
      <c r="C23" s="1330" t="s">
        <v>43</v>
      </c>
      <c r="D23" s="1390"/>
      <c r="E23" s="1390"/>
      <c r="F23" s="1396"/>
      <c r="G23" s="1390"/>
      <c r="H23" s="1396"/>
      <c r="I23" s="92"/>
      <c r="J23" s="92"/>
      <c r="K23" s="328"/>
      <c r="L23" s="119"/>
      <c r="M23" s="119"/>
      <c r="N23" s="119"/>
      <c r="O23" s="327"/>
      <c r="P23" s="1393"/>
      <c r="Q23" s="1398"/>
      <c r="R23" s="198"/>
      <c r="S23" s="198"/>
      <c r="T23" s="1361"/>
    </row>
    <row r="24" spans="2:20" x14ac:dyDescent="0.2">
      <c r="B24" s="552">
        <f t="shared" si="0"/>
        <v>14</v>
      </c>
      <c r="C24" s="118" t="s">
        <v>44</v>
      </c>
      <c r="D24" s="1392"/>
      <c r="E24" s="1392"/>
      <c r="F24" s="1397"/>
      <c r="G24" s="1392"/>
      <c r="H24" s="1397"/>
      <c r="I24" s="92"/>
      <c r="J24" s="92"/>
      <c r="K24" s="328"/>
      <c r="L24" s="1374" t="s">
        <v>66</v>
      </c>
      <c r="M24" s="1374">
        <f>SUM(M12:M22)</f>
        <v>126929</v>
      </c>
      <c r="N24" s="1374">
        <f>SUM(N12:N22)</f>
        <v>160570</v>
      </c>
      <c r="O24" s="1400">
        <f>SUM(O12:O22)</f>
        <v>287499</v>
      </c>
      <c r="P24" s="1349">
        <f>SUM(P12:P23)</f>
        <v>1461</v>
      </c>
      <c r="Q24" s="1349">
        <f>SUM(Q12:Q23)</f>
        <v>13966</v>
      </c>
      <c r="R24" s="1349">
        <f t="shared" ref="R24:T24" si="7">SUM(R12:R23)</f>
        <v>128390</v>
      </c>
      <c r="S24" s="1349">
        <f t="shared" si="7"/>
        <v>174536</v>
      </c>
      <c r="T24" s="1362">
        <f t="shared" si="7"/>
        <v>302926</v>
      </c>
    </row>
    <row r="25" spans="2:20" x14ac:dyDescent="0.2">
      <c r="B25" s="552">
        <f t="shared" si="0"/>
        <v>15</v>
      </c>
      <c r="C25" s="118" t="s">
        <v>45</v>
      </c>
      <c r="D25" s="1390"/>
      <c r="E25" s="1390"/>
      <c r="F25" s="1396"/>
      <c r="G25" s="1390"/>
      <c r="H25" s="1396"/>
      <c r="I25" s="92"/>
      <c r="J25" s="92"/>
      <c r="K25" s="328"/>
      <c r="L25" s="119"/>
      <c r="M25" s="119"/>
      <c r="N25" s="119"/>
      <c r="O25" s="327"/>
      <c r="P25" s="200"/>
      <c r="Q25" s="1361"/>
      <c r="R25" s="198"/>
      <c r="S25" s="198"/>
      <c r="T25" s="1361"/>
    </row>
    <row r="26" spans="2:20" x14ac:dyDescent="0.2">
      <c r="B26" s="552">
        <f t="shared" si="0"/>
        <v>16</v>
      </c>
      <c r="C26" s="118" t="s">
        <v>46</v>
      </c>
      <c r="D26" s="1337"/>
      <c r="E26" s="1337"/>
      <c r="F26" s="360"/>
      <c r="G26" s="1337"/>
      <c r="H26" s="360"/>
      <c r="I26" s="92"/>
      <c r="J26" s="92"/>
      <c r="K26" s="328"/>
      <c r="L26" s="1337" t="s">
        <v>34</v>
      </c>
      <c r="M26" s="121"/>
      <c r="N26" s="121"/>
      <c r="O26" s="327"/>
      <c r="P26" s="200"/>
      <c r="Q26" s="1361"/>
      <c r="R26" s="198"/>
      <c r="S26" s="198"/>
      <c r="T26" s="1361"/>
    </row>
    <row r="27" spans="2:20" x14ac:dyDescent="0.2">
      <c r="B27" s="552">
        <f t="shared" si="0"/>
        <v>17</v>
      </c>
      <c r="C27" s="118" t="s">
        <v>47</v>
      </c>
      <c r="D27" s="92"/>
      <c r="E27" s="92"/>
      <c r="F27" s="328"/>
      <c r="G27" s="92"/>
      <c r="H27" s="328"/>
      <c r="I27" s="92"/>
      <c r="J27" s="92"/>
      <c r="K27" s="328"/>
      <c r="L27" s="92" t="s">
        <v>227</v>
      </c>
      <c r="M27" s="119">
        <f>'felhalm. kiad.  '!M100</f>
        <v>2833</v>
      </c>
      <c r="N27" s="119">
        <f>'felhalm. kiad.  '!P100</f>
        <v>6335</v>
      </c>
      <c r="O27" s="327">
        <f>SUM(M27:N27)</f>
        <v>9168</v>
      </c>
      <c r="P27" s="200"/>
      <c r="Q27" s="1361"/>
      <c r="R27" s="198">
        <f t="shared" si="1"/>
        <v>2833</v>
      </c>
      <c r="S27" s="198">
        <f t="shared" si="2"/>
        <v>6335</v>
      </c>
      <c r="T27" s="1361">
        <f t="shared" si="3"/>
        <v>9168</v>
      </c>
    </row>
    <row r="28" spans="2:20" x14ac:dyDescent="0.2">
      <c r="B28" s="552">
        <f t="shared" si="0"/>
        <v>18</v>
      </c>
      <c r="C28" s="118"/>
      <c r="D28" s="92"/>
      <c r="E28" s="92"/>
      <c r="F28" s="328"/>
      <c r="G28" s="92"/>
      <c r="H28" s="328"/>
      <c r="I28" s="92"/>
      <c r="J28" s="92"/>
      <c r="K28" s="328"/>
      <c r="L28" s="92" t="s">
        <v>31</v>
      </c>
      <c r="M28" s="119"/>
      <c r="N28" s="119"/>
      <c r="O28" s="327"/>
      <c r="P28" s="200"/>
      <c r="Q28" s="1361"/>
      <c r="R28" s="198"/>
      <c r="S28" s="198"/>
      <c r="T28" s="1361"/>
    </row>
    <row r="29" spans="2:20" x14ac:dyDescent="0.2">
      <c r="B29" s="552">
        <f t="shared" si="0"/>
        <v>19</v>
      </c>
      <c r="C29" s="1330" t="s">
        <v>50</v>
      </c>
      <c r="D29" s="92"/>
      <c r="E29" s="92"/>
      <c r="F29" s="328"/>
      <c r="G29" s="92"/>
      <c r="H29" s="328"/>
      <c r="I29" s="92"/>
      <c r="J29" s="92"/>
      <c r="K29" s="328"/>
      <c r="L29" s="92" t="s">
        <v>32</v>
      </c>
      <c r="M29" s="119"/>
      <c r="N29" s="119"/>
      <c r="O29" s="327"/>
      <c r="P29" s="200"/>
      <c r="Q29" s="1361"/>
      <c r="R29" s="198"/>
      <c r="S29" s="198"/>
      <c r="T29" s="1361"/>
    </row>
    <row r="30" spans="2:20" s="97" customFormat="1" x14ac:dyDescent="0.2">
      <c r="B30" s="552">
        <f t="shared" si="0"/>
        <v>20</v>
      </c>
      <c r="C30" s="1330" t="s">
        <v>48</v>
      </c>
      <c r="D30" s="92"/>
      <c r="E30" s="92"/>
      <c r="F30" s="328"/>
      <c r="G30" s="92"/>
      <c r="H30" s="328"/>
      <c r="I30" s="92"/>
      <c r="J30" s="92"/>
      <c r="K30" s="328"/>
      <c r="L30" s="92" t="s">
        <v>448</v>
      </c>
      <c r="M30" s="119"/>
      <c r="N30" s="119"/>
      <c r="O30" s="327"/>
      <c r="P30" s="1393"/>
      <c r="Q30" s="1398"/>
      <c r="R30" s="198"/>
      <c r="S30" s="198"/>
      <c r="T30" s="1361"/>
    </row>
    <row r="31" spans="2:20" x14ac:dyDescent="0.2">
      <c r="B31" s="552">
        <f t="shared" si="0"/>
        <v>21</v>
      </c>
      <c r="C31" s="1330"/>
      <c r="D31" s="92"/>
      <c r="E31" s="92"/>
      <c r="F31" s="328"/>
      <c r="G31" s="92"/>
      <c r="H31" s="328"/>
      <c r="I31" s="92"/>
      <c r="J31" s="92"/>
      <c r="K31" s="328"/>
      <c r="L31" s="92" t="s">
        <v>445</v>
      </c>
      <c r="M31" s="119"/>
      <c r="N31" s="119"/>
      <c r="O31" s="327"/>
      <c r="P31" s="200"/>
      <c r="Q31" s="1361"/>
      <c r="R31" s="198"/>
      <c r="S31" s="198"/>
      <c r="T31" s="1361"/>
    </row>
    <row r="32" spans="2:20" s="10" customFormat="1" x14ac:dyDescent="0.2">
      <c r="B32" s="552">
        <f t="shared" si="0"/>
        <v>22</v>
      </c>
      <c r="C32" s="1333" t="s">
        <v>52</v>
      </c>
      <c r="D32" s="1375">
        <f>D13+D14+D16+D18+D20+D23+D24+D25+D26+D27+D29+D30</f>
        <v>2815</v>
      </c>
      <c r="E32" s="1375">
        <f>E13+E14+E16+E18+E20+E23+E24+E25+E26+E27+E29+E30</f>
        <v>402</v>
      </c>
      <c r="F32" s="1380">
        <f>F13+F14+F16+F18+F20+F23+F24+F25+F26+F27+F29+F30</f>
        <v>3217</v>
      </c>
      <c r="G32" s="1710">
        <f t="shared" ref="G32:H32" si="8">G13+G14+G16+G18+G20+G23+G24+G25+G26+G27+G29+G30</f>
        <v>1358</v>
      </c>
      <c r="H32" s="1380">
        <f t="shared" si="8"/>
        <v>0</v>
      </c>
      <c r="I32" s="1374">
        <f t="shared" si="5"/>
        <v>4173</v>
      </c>
      <c r="J32" s="1374">
        <f t="shared" si="5"/>
        <v>402</v>
      </c>
      <c r="K32" s="1400">
        <f t="shared" si="6"/>
        <v>4575</v>
      </c>
      <c r="L32" s="92" t="s">
        <v>441</v>
      </c>
      <c r="M32" s="119"/>
      <c r="N32" s="119"/>
      <c r="O32" s="327"/>
      <c r="P32" s="1336"/>
      <c r="Q32" s="1356"/>
      <c r="R32" s="198"/>
      <c r="S32" s="198"/>
      <c r="T32" s="1361"/>
    </row>
    <row r="33" spans="2:20" x14ac:dyDescent="0.2">
      <c r="B33" s="552">
        <f t="shared" si="0"/>
        <v>23</v>
      </c>
      <c r="C33" s="1376" t="s">
        <v>67</v>
      </c>
      <c r="D33" s="1393"/>
      <c r="E33" s="1393"/>
      <c r="F33" s="1398"/>
      <c r="G33" s="1716"/>
      <c r="H33" s="1398"/>
      <c r="I33" s="102"/>
      <c r="J33" s="92"/>
      <c r="K33" s="328"/>
      <c r="L33" s="1392" t="s">
        <v>68</v>
      </c>
      <c r="M33" s="1394">
        <f>SUM(M27:M32)</f>
        <v>2833</v>
      </c>
      <c r="N33" s="1394">
        <f>SUM(N27:N32)</f>
        <v>6335</v>
      </c>
      <c r="O33" s="1401">
        <f>SUM(O27:O31)</f>
        <v>9168</v>
      </c>
      <c r="P33" s="1393"/>
      <c r="Q33" s="1398"/>
      <c r="R33" s="1717">
        <f t="shared" si="1"/>
        <v>2833</v>
      </c>
      <c r="S33" s="1717">
        <f t="shared" si="2"/>
        <v>6335</v>
      </c>
      <c r="T33" s="1398">
        <f t="shared" si="3"/>
        <v>9168</v>
      </c>
    </row>
    <row r="34" spans="2:20" x14ac:dyDescent="0.2">
      <c r="B34" s="552">
        <f t="shared" si="0"/>
        <v>24</v>
      </c>
      <c r="C34" s="123" t="s">
        <v>51</v>
      </c>
      <c r="D34" s="1336">
        <f>SUM(D32:D33)</f>
        <v>2815</v>
      </c>
      <c r="E34" s="1336">
        <f>SUM(E32:E33)</f>
        <v>402</v>
      </c>
      <c r="F34" s="1356">
        <f>SUM(F32:F33)</f>
        <v>3217</v>
      </c>
      <c r="G34" s="1712">
        <f>G32+G33</f>
        <v>1358</v>
      </c>
      <c r="H34" s="1336">
        <f>H32+H33</f>
        <v>0</v>
      </c>
      <c r="I34" s="1719">
        <f t="shared" si="5"/>
        <v>4173</v>
      </c>
      <c r="J34" s="121">
        <f t="shared" si="5"/>
        <v>402</v>
      </c>
      <c r="K34" s="1354">
        <f t="shared" si="6"/>
        <v>4575</v>
      </c>
      <c r="L34" s="121" t="s">
        <v>69</v>
      </c>
      <c r="M34" s="121">
        <f>M24+M33</f>
        <v>129762</v>
      </c>
      <c r="N34" s="121">
        <f>N24+N33</f>
        <v>166905</v>
      </c>
      <c r="O34" s="1354">
        <f>O24+O33</f>
        <v>296667</v>
      </c>
      <c r="P34" s="1336">
        <f>P24+P33</f>
        <v>1461</v>
      </c>
      <c r="Q34" s="1336">
        <f t="shared" ref="Q34:T34" si="9">Q24+Q33</f>
        <v>13966</v>
      </c>
      <c r="R34" s="1336">
        <f t="shared" si="9"/>
        <v>131223</v>
      </c>
      <c r="S34" s="1336">
        <f t="shared" si="9"/>
        <v>180871</v>
      </c>
      <c r="T34" s="1356">
        <f t="shared" si="9"/>
        <v>312094</v>
      </c>
    </row>
    <row r="35" spans="2:20" x14ac:dyDescent="0.2">
      <c r="B35" s="552">
        <f t="shared" si="0"/>
        <v>25</v>
      </c>
      <c r="C35" s="1330"/>
      <c r="D35" s="119"/>
      <c r="E35" s="119"/>
      <c r="F35" s="327"/>
      <c r="G35" s="119"/>
      <c r="H35" s="327"/>
      <c r="I35" s="92"/>
      <c r="J35" s="92"/>
      <c r="K35" s="328"/>
      <c r="L35" s="119"/>
      <c r="M35" s="119"/>
      <c r="N35" s="119"/>
      <c r="O35" s="327"/>
      <c r="P35" s="200"/>
      <c r="Q35" s="1361"/>
      <c r="R35" s="198"/>
      <c r="S35" s="198"/>
      <c r="T35" s="1361"/>
    </row>
    <row r="36" spans="2:20" x14ac:dyDescent="0.2">
      <c r="B36" s="552">
        <f t="shared" si="0"/>
        <v>26</v>
      </c>
      <c r="C36" s="1330"/>
      <c r="D36" s="119"/>
      <c r="E36" s="119"/>
      <c r="F36" s="327"/>
      <c r="G36" s="119"/>
      <c r="H36" s="327"/>
      <c r="I36" s="92"/>
      <c r="J36" s="92"/>
      <c r="K36" s="328"/>
      <c r="L36" s="1374"/>
      <c r="M36" s="1374"/>
      <c r="N36" s="1374"/>
      <c r="O36" s="1400"/>
      <c r="P36" s="200"/>
      <c r="Q36" s="1361"/>
      <c r="R36" s="198"/>
      <c r="S36" s="198"/>
      <c r="T36" s="1361"/>
    </row>
    <row r="37" spans="2:20" s="10" customFormat="1" x14ac:dyDescent="0.2">
      <c r="B37" s="552">
        <f t="shared" si="0"/>
        <v>27</v>
      </c>
      <c r="C37" s="1330"/>
      <c r="D37" s="119"/>
      <c r="E37" s="119"/>
      <c r="F37" s="327"/>
      <c r="G37" s="119"/>
      <c r="H37" s="327"/>
      <c r="I37" s="92"/>
      <c r="J37" s="92"/>
      <c r="K37" s="328"/>
      <c r="L37" s="119"/>
      <c r="M37" s="119"/>
      <c r="N37" s="119"/>
      <c r="O37" s="327"/>
      <c r="P37" s="1336"/>
      <c r="Q37" s="1356"/>
      <c r="R37" s="198"/>
      <c r="S37" s="198"/>
      <c r="T37" s="1361"/>
    </row>
    <row r="38" spans="2:20" s="10" customFormat="1" x14ac:dyDescent="0.2">
      <c r="B38" s="552">
        <f t="shared" si="0"/>
        <v>28</v>
      </c>
      <c r="C38" s="1337" t="s">
        <v>53</v>
      </c>
      <c r="D38" s="1337"/>
      <c r="E38" s="1337"/>
      <c r="F38" s="360"/>
      <c r="G38" s="1337"/>
      <c r="H38" s="360"/>
      <c r="I38" s="92"/>
      <c r="J38" s="92"/>
      <c r="K38" s="328"/>
      <c r="L38" s="1337" t="s">
        <v>33</v>
      </c>
      <c r="M38" s="121"/>
      <c r="N38" s="121"/>
      <c r="O38" s="1354"/>
      <c r="P38" s="1336"/>
      <c r="Q38" s="1356"/>
      <c r="R38" s="198"/>
      <c r="S38" s="198"/>
      <c r="T38" s="1361"/>
    </row>
    <row r="39" spans="2:20" s="10" customFormat="1" x14ac:dyDescent="0.2">
      <c r="B39" s="552">
        <f t="shared" si="0"/>
        <v>29</v>
      </c>
      <c r="C39" s="1338" t="s">
        <v>685</v>
      </c>
      <c r="D39" s="1337"/>
      <c r="E39" s="1337"/>
      <c r="F39" s="360"/>
      <c r="G39" s="1337"/>
      <c r="H39" s="360"/>
      <c r="I39" s="92"/>
      <c r="J39" s="92"/>
      <c r="K39" s="328"/>
      <c r="L39" s="1338" t="s">
        <v>4</v>
      </c>
      <c r="M39" s="121"/>
      <c r="N39" s="123"/>
      <c r="O39" s="1367"/>
      <c r="P39" s="1336"/>
      <c r="Q39" s="1356"/>
      <c r="R39" s="198"/>
      <c r="S39" s="198"/>
      <c r="T39" s="1361"/>
    </row>
    <row r="40" spans="2:20" s="10" customFormat="1" x14ac:dyDescent="0.2">
      <c r="B40" s="552">
        <f t="shared" si="0"/>
        <v>30</v>
      </c>
      <c r="C40" s="1330" t="s">
        <v>962</v>
      </c>
      <c r="D40" s="1337"/>
      <c r="E40" s="1337"/>
      <c r="F40" s="360"/>
      <c r="G40" s="1337"/>
      <c r="H40" s="360"/>
      <c r="I40" s="92"/>
      <c r="J40" s="92"/>
      <c r="K40" s="328"/>
      <c r="L40" s="118" t="s">
        <v>3</v>
      </c>
      <c r="M40" s="121"/>
      <c r="N40" s="121"/>
      <c r="O40" s="1354"/>
      <c r="P40" s="1336"/>
      <c r="Q40" s="1356"/>
      <c r="R40" s="198"/>
      <c r="S40" s="198"/>
      <c r="T40" s="1361"/>
    </row>
    <row r="41" spans="2:20" x14ac:dyDescent="0.2">
      <c r="B41" s="552">
        <f t="shared" si="0"/>
        <v>31</v>
      </c>
      <c r="C41" s="92" t="s">
        <v>687</v>
      </c>
      <c r="D41" s="1395"/>
      <c r="E41" s="1395"/>
      <c r="F41" s="1399"/>
      <c r="G41" s="1395"/>
      <c r="H41" s="1399"/>
      <c r="I41" s="92"/>
      <c r="J41" s="92"/>
      <c r="K41" s="328"/>
      <c r="L41" s="92" t="s">
        <v>5</v>
      </c>
      <c r="M41" s="121"/>
      <c r="N41" s="121"/>
      <c r="O41" s="1354"/>
      <c r="P41" s="200"/>
      <c r="Q41" s="1361"/>
      <c r="R41" s="198"/>
      <c r="S41" s="198"/>
      <c r="T41" s="1361"/>
    </row>
    <row r="42" spans="2:20" x14ac:dyDescent="0.2">
      <c r="B42" s="552">
        <f t="shared" si="0"/>
        <v>32</v>
      </c>
      <c r="C42" s="92" t="s">
        <v>208</v>
      </c>
      <c r="D42" s="92"/>
      <c r="E42" s="92"/>
      <c r="F42" s="328"/>
      <c r="G42" s="92"/>
      <c r="H42" s="328"/>
      <c r="I42" s="92"/>
      <c r="J42" s="92"/>
      <c r="K42" s="328"/>
      <c r="L42" s="92" t="s">
        <v>6</v>
      </c>
      <c r="M42" s="121"/>
      <c r="N42" s="121"/>
      <c r="O42" s="1354"/>
      <c r="P42" s="200"/>
      <c r="Q42" s="1361"/>
      <c r="R42" s="198"/>
      <c r="S42" s="198"/>
      <c r="T42" s="1361"/>
    </row>
    <row r="43" spans="2:20" x14ac:dyDescent="0.2">
      <c r="B43" s="552">
        <f t="shared" si="0"/>
        <v>33</v>
      </c>
      <c r="C43" s="1345" t="s">
        <v>209</v>
      </c>
      <c r="D43" s="92">
        <v>0</v>
      </c>
      <c r="E43" s="92">
        <v>0</v>
      </c>
      <c r="F43" s="328">
        <f>D43+E43</f>
        <v>0</v>
      </c>
      <c r="G43" s="92">
        <v>81</v>
      </c>
      <c r="H43" s="328">
        <v>13966</v>
      </c>
      <c r="I43" s="92">
        <f t="shared" si="5"/>
        <v>81</v>
      </c>
      <c r="J43" s="92">
        <f t="shared" si="5"/>
        <v>13966</v>
      </c>
      <c r="K43" s="328">
        <f t="shared" si="6"/>
        <v>14047</v>
      </c>
      <c r="L43" s="92" t="s">
        <v>7</v>
      </c>
      <c r="M43" s="121"/>
      <c r="N43" s="121"/>
      <c r="O43" s="1354"/>
      <c r="P43" s="200"/>
      <c r="Q43" s="1361"/>
      <c r="R43" s="198"/>
      <c r="S43" s="198"/>
      <c r="T43" s="1361"/>
    </row>
    <row r="44" spans="2:20" x14ac:dyDescent="0.2">
      <c r="B44" s="552">
        <f t="shared" si="0"/>
        <v>34</v>
      </c>
      <c r="C44" s="1345" t="s">
        <v>961</v>
      </c>
      <c r="D44" s="92"/>
      <c r="E44" s="92"/>
      <c r="F44" s="328"/>
      <c r="G44" s="92"/>
      <c r="H44" s="328"/>
      <c r="I44" s="92"/>
      <c r="J44" s="92"/>
      <c r="K44" s="328"/>
      <c r="L44" s="92"/>
      <c r="M44" s="121"/>
      <c r="N44" s="121"/>
      <c r="O44" s="1354"/>
      <c r="P44" s="200"/>
      <c r="Q44" s="1361"/>
      <c r="R44" s="198"/>
      <c r="S44" s="198"/>
      <c r="T44" s="1361"/>
    </row>
    <row r="45" spans="2:20" x14ac:dyDescent="0.2">
      <c r="B45" s="552">
        <f t="shared" si="0"/>
        <v>35</v>
      </c>
      <c r="C45" s="92" t="s">
        <v>688</v>
      </c>
      <c r="D45" s="92"/>
      <c r="E45" s="92"/>
      <c r="F45" s="328"/>
      <c r="G45" s="92"/>
      <c r="H45" s="328"/>
      <c r="I45" s="92"/>
      <c r="J45" s="92"/>
      <c r="K45" s="328"/>
      <c r="L45" s="92" t="s">
        <v>8</v>
      </c>
      <c r="M45" s="121"/>
      <c r="N45" s="121"/>
      <c r="O45" s="327"/>
      <c r="P45" s="200"/>
      <c r="Q45" s="1361"/>
      <c r="R45" s="198"/>
      <c r="S45" s="198"/>
      <c r="T45" s="1361"/>
    </row>
    <row r="46" spans="2:20" x14ac:dyDescent="0.2">
      <c r="B46" s="552">
        <f t="shared" si="0"/>
        <v>36</v>
      </c>
      <c r="C46" s="92" t="s">
        <v>689</v>
      </c>
      <c r="D46" s="1337"/>
      <c r="E46" s="1337"/>
      <c r="F46" s="360"/>
      <c r="G46" s="1337"/>
      <c r="H46" s="360"/>
      <c r="I46" s="92"/>
      <c r="J46" s="92"/>
      <c r="K46" s="328"/>
      <c r="L46" s="92" t="s">
        <v>9</v>
      </c>
      <c r="M46" s="121"/>
      <c r="N46" s="121"/>
      <c r="O46" s="327"/>
      <c r="P46" s="200"/>
      <c r="Q46" s="1361"/>
      <c r="R46" s="198"/>
      <c r="S46" s="198"/>
      <c r="T46" s="1361"/>
    </row>
    <row r="47" spans="2:20" x14ac:dyDescent="0.2">
      <c r="B47" s="552">
        <f t="shared" si="0"/>
        <v>37</v>
      </c>
      <c r="C47" s="92" t="s">
        <v>212</v>
      </c>
      <c r="D47" s="92"/>
      <c r="E47" s="92"/>
      <c r="F47" s="328"/>
      <c r="G47" s="92"/>
      <c r="H47" s="328"/>
      <c r="I47" s="92"/>
      <c r="J47" s="92"/>
      <c r="K47" s="328"/>
      <c r="L47" s="92" t="s">
        <v>10</v>
      </c>
      <c r="M47" s="119"/>
      <c r="N47" s="119"/>
      <c r="O47" s="327"/>
      <c r="P47" s="200"/>
      <c r="Q47" s="1361"/>
      <c r="R47" s="198"/>
      <c r="S47" s="198"/>
      <c r="T47" s="1361"/>
    </row>
    <row r="48" spans="2:20" x14ac:dyDescent="0.2">
      <c r="B48" s="552">
        <f t="shared" si="0"/>
        <v>38</v>
      </c>
      <c r="C48" s="1345" t="s">
        <v>213</v>
      </c>
      <c r="D48" s="193">
        <f>M24-(D34+D43)</f>
        <v>124114</v>
      </c>
      <c r="E48" s="193">
        <f>N24-(E34+E43)</f>
        <v>160168</v>
      </c>
      <c r="F48" s="339">
        <f>O24-(F34+F43)</f>
        <v>284282</v>
      </c>
      <c r="G48" s="345">
        <v>22</v>
      </c>
      <c r="H48" s="339"/>
      <c r="I48" s="92">
        <f t="shared" si="5"/>
        <v>124136</v>
      </c>
      <c r="J48" s="92">
        <f t="shared" si="5"/>
        <v>160168</v>
      </c>
      <c r="K48" s="328">
        <f t="shared" si="6"/>
        <v>284304</v>
      </c>
      <c r="L48" s="92" t="s">
        <v>11</v>
      </c>
      <c r="M48" s="119"/>
      <c r="N48" s="119"/>
      <c r="O48" s="327"/>
      <c r="P48" s="200"/>
      <c r="Q48" s="1361"/>
      <c r="R48" s="198"/>
      <c r="S48" s="198"/>
      <c r="T48" s="1361"/>
    </row>
    <row r="49" spans="2:21" x14ac:dyDescent="0.2">
      <c r="B49" s="552">
        <f t="shared" si="0"/>
        <v>39</v>
      </c>
      <c r="C49" s="1345" t="s">
        <v>214</v>
      </c>
      <c r="D49" s="92">
        <f>M33-D33</f>
        <v>2833</v>
      </c>
      <c r="E49" s="92">
        <f>N33-E33</f>
        <v>6335</v>
      </c>
      <c r="F49" s="328">
        <f>O33-F33</f>
        <v>9168</v>
      </c>
      <c r="G49" s="92"/>
      <c r="H49" s="328"/>
      <c r="I49" s="92">
        <f t="shared" si="5"/>
        <v>2833</v>
      </c>
      <c r="J49" s="92">
        <f t="shared" si="5"/>
        <v>6335</v>
      </c>
      <c r="K49" s="328">
        <f t="shared" si="6"/>
        <v>9168</v>
      </c>
      <c r="L49" s="92" t="s">
        <v>12</v>
      </c>
      <c r="M49" s="119"/>
      <c r="N49" s="119"/>
      <c r="O49" s="327"/>
      <c r="P49" s="200"/>
      <c r="Q49" s="1361"/>
      <c r="R49" s="198"/>
      <c r="S49" s="198"/>
      <c r="T49" s="1361"/>
    </row>
    <row r="50" spans="2:21" x14ac:dyDescent="0.2">
      <c r="B50" s="552">
        <f t="shared" si="0"/>
        <v>40</v>
      </c>
      <c r="C50" s="92" t="s">
        <v>1</v>
      </c>
      <c r="D50" s="92"/>
      <c r="E50" s="92"/>
      <c r="F50" s="328"/>
      <c r="G50" s="92"/>
      <c r="H50" s="328"/>
      <c r="I50" s="92"/>
      <c r="J50" s="92"/>
      <c r="K50" s="328"/>
      <c r="L50" s="92" t="s">
        <v>13</v>
      </c>
      <c r="M50" s="119"/>
      <c r="N50" s="119"/>
      <c r="O50" s="327"/>
      <c r="P50" s="200"/>
      <c r="Q50" s="1361"/>
      <c r="R50" s="198"/>
      <c r="S50" s="198"/>
      <c r="T50" s="1361"/>
    </row>
    <row r="51" spans="2:21" x14ac:dyDescent="0.2">
      <c r="B51" s="552">
        <f t="shared" si="0"/>
        <v>41</v>
      </c>
      <c r="C51" s="92"/>
      <c r="D51" s="92"/>
      <c r="E51" s="92"/>
      <c r="F51" s="328"/>
      <c r="G51" s="92"/>
      <c r="H51" s="328"/>
      <c r="I51" s="92"/>
      <c r="J51" s="92"/>
      <c r="K51" s="328"/>
      <c r="L51" s="92" t="s">
        <v>14</v>
      </c>
      <c r="M51" s="119"/>
      <c r="N51" s="119"/>
      <c r="O51" s="327"/>
      <c r="P51" s="200"/>
      <c r="Q51" s="1361"/>
      <c r="R51" s="198"/>
      <c r="S51" s="198"/>
      <c r="T51" s="1361"/>
    </row>
    <row r="52" spans="2:21" x14ac:dyDescent="0.2">
      <c r="B52" s="552">
        <f t="shared" si="0"/>
        <v>42</v>
      </c>
      <c r="C52" s="92"/>
      <c r="D52" s="92"/>
      <c r="E52" s="92"/>
      <c r="F52" s="328"/>
      <c r="G52" s="92"/>
      <c r="H52" s="328"/>
      <c r="I52" s="92"/>
      <c r="J52" s="92"/>
      <c r="K52" s="328"/>
      <c r="L52" s="92" t="s">
        <v>15</v>
      </c>
      <c r="M52" s="119"/>
      <c r="N52" s="119"/>
      <c r="O52" s="327"/>
      <c r="P52" s="200"/>
      <c r="Q52" s="1361"/>
      <c r="R52" s="198"/>
      <c r="S52" s="198"/>
      <c r="T52" s="1361"/>
    </row>
    <row r="53" spans="2:21" ht="12" thickBot="1" x14ac:dyDescent="0.25">
      <c r="B53" s="552">
        <f t="shared" si="0"/>
        <v>43</v>
      </c>
      <c r="C53" s="123" t="s">
        <v>449</v>
      </c>
      <c r="D53" s="1337">
        <f>SUM(D39:D51)</f>
        <v>126947</v>
      </c>
      <c r="E53" s="1337">
        <f>SUM(E39:E51)</f>
        <v>166503</v>
      </c>
      <c r="F53" s="360">
        <f>SUM(F39:F51)</f>
        <v>293450</v>
      </c>
      <c r="G53" s="1337">
        <f>SUM(G43:G52)</f>
        <v>103</v>
      </c>
      <c r="H53" s="360">
        <f>SUM(H43:H52)</f>
        <v>13966</v>
      </c>
      <c r="I53" s="1337">
        <f>SUM(I43:I52)</f>
        <v>127050</v>
      </c>
      <c r="J53" s="1337">
        <f t="shared" ref="J53:K53" si="10">SUM(J43:J52)</f>
        <v>180469</v>
      </c>
      <c r="K53" s="1337">
        <f t="shared" si="10"/>
        <v>307519</v>
      </c>
      <c r="L53" s="1337" t="s">
        <v>442</v>
      </c>
      <c r="M53" s="121">
        <f>SUM(M39:M52)</f>
        <v>0</v>
      </c>
      <c r="N53" s="121">
        <f>SUM(N39:N52)</f>
        <v>0</v>
      </c>
      <c r="O53" s="1354">
        <f>SUM(O39:O52)</f>
        <v>0</v>
      </c>
      <c r="P53" s="200"/>
      <c r="Q53" s="1361"/>
      <c r="R53" s="128">
        <f t="shared" si="1"/>
        <v>0</v>
      </c>
      <c r="S53" s="128">
        <f t="shared" si="2"/>
        <v>0</v>
      </c>
      <c r="T53" s="1356">
        <f t="shared" si="3"/>
        <v>0</v>
      </c>
    </row>
    <row r="54" spans="2:21" ht="12" thickBot="1" x14ac:dyDescent="0.25">
      <c r="B54" s="684">
        <f t="shared" si="0"/>
        <v>44</v>
      </c>
      <c r="C54" s="683" t="s">
        <v>444</v>
      </c>
      <c r="D54" s="675">
        <f>D34+D53</f>
        <v>129762</v>
      </c>
      <c r="E54" s="675">
        <f>E34+E53</f>
        <v>166905</v>
      </c>
      <c r="F54" s="675">
        <f>F34+F53</f>
        <v>296667</v>
      </c>
      <c r="G54" s="1402">
        <f>G53+G34</f>
        <v>1461</v>
      </c>
      <c r="H54" s="1402">
        <f t="shared" ref="H54:K54" si="11">H53+H34</f>
        <v>13966</v>
      </c>
      <c r="I54" s="1402">
        <f t="shared" si="11"/>
        <v>131223</v>
      </c>
      <c r="J54" s="1402">
        <f t="shared" si="11"/>
        <v>180871</v>
      </c>
      <c r="K54" s="1402">
        <f t="shared" si="11"/>
        <v>312094</v>
      </c>
      <c r="L54" s="1325" t="s">
        <v>443</v>
      </c>
      <c r="M54" s="675">
        <f>M34+M53</f>
        <v>129762</v>
      </c>
      <c r="N54" s="675">
        <f>N34+N53</f>
        <v>166905</v>
      </c>
      <c r="O54" s="675">
        <f>O34+O53</f>
        <v>296667</v>
      </c>
      <c r="P54" s="682">
        <f>P53+P34</f>
        <v>1461</v>
      </c>
      <c r="Q54" s="682">
        <f t="shared" ref="Q54:T54" si="12">Q53+Q34</f>
        <v>13966</v>
      </c>
      <c r="R54" s="682">
        <f t="shared" si="12"/>
        <v>131223</v>
      </c>
      <c r="S54" s="682">
        <f t="shared" si="12"/>
        <v>180871</v>
      </c>
      <c r="T54" s="682">
        <f t="shared" si="12"/>
        <v>312094</v>
      </c>
    </row>
    <row r="55" spans="2:21" x14ac:dyDescent="0.2">
      <c r="C55" s="125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T55" s="199"/>
      <c r="U55" s="199"/>
    </row>
  </sheetData>
  <sheetProtection selectLockedCells="1" selectUnlockedCells="1"/>
  <mergeCells count="16">
    <mergeCell ref="B1:T1"/>
    <mergeCell ref="A4:T4"/>
    <mergeCell ref="A5:T5"/>
    <mergeCell ref="M8:T8"/>
    <mergeCell ref="P9:Q9"/>
    <mergeCell ref="R9:T9"/>
    <mergeCell ref="A6:T6"/>
    <mergeCell ref="B7:T7"/>
    <mergeCell ref="B8:B10"/>
    <mergeCell ref="C8:C9"/>
    <mergeCell ref="D9:F9"/>
    <mergeCell ref="M9:O9"/>
    <mergeCell ref="L8:L9"/>
    <mergeCell ref="G9:H9"/>
    <mergeCell ref="I9:K9"/>
    <mergeCell ref="D8:K8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92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137" customWidth="1"/>
    <col min="2" max="2" width="33" style="89" customWidth="1"/>
    <col min="3" max="3" width="10.7109375" style="91" customWidth="1"/>
    <col min="4" max="4" width="12.28515625" style="91" customWidth="1"/>
    <col min="5" max="5" width="9.140625" style="91"/>
    <col min="6" max="6" width="11.28515625" style="91" customWidth="1"/>
    <col min="7" max="7" width="11.140625" style="91" customWidth="1"/>
    <col min="8" max="10" width="10" style="91" customWidth="1"/>
    <col min="11" max="11" width="11.28515625" style="91" customWidth="1"/>
    <col min="12" max="12" width="7.28515625" style="204" hidden="1" customWidth="1"/>
    <col min="13" max="13" width="8.5703125" style="204" hidden="1" customWidth="1"/>
    <col min="14" max="14" width="7.5703125" style="204" hidden="1" customWidth="1"/>
    <col min="15" max="15" width="8.28515625" style="204" hidden="1" customWidth="1"/>
    <col min="16" max="16" width="5.7109375" style="204" hidden="1" customWidth="1"/>
    <col min="17" max="17" width="8" style="204" hidden="1" customWidth="1"/>
    <col min="18" max="18" width="6.140625" style="204" hidden="1" customWidth="1"/>
    <col min="19" max="19" width="4.42578125" style="395" customWidth="1"/>
    <col min="20" max="16384" width="9.140625" style="75"/>
  </cols>
  <sheetData>
    <row r="1" spans="1:19" ht="17.25" customHeight="1" x14ac:dyDescent="0.2">
      <c r="B1" s="1557" t="s">
        <v>293</v>
      </c>
      <c r="C1" s="1557"/>
      <c r="D1" s="1557"/>
      <c r="E1" s="1557"/>
      <c r="F1" s="1557"/>
      <c r="G1" s="1557"/>
      <c r="H1" s="1557"/>
      <c r="I1" s="1557"/>
      <c r="J1" s="1557"/>
      <c r="K1" s="1558"/>
      <c r="L1" s="1464"/>
      <c r="M1" s="1464"/>
      <c r="N1" s="1464"/>
      <c r="O1" s="1464"/>
      <c r="P1" s="1464"/>
      <c r="Q1" s="1464"/>
      <c r="R1" s="1464"/>
    </row>
    <row r="2" spans="1:19" ht="13.5" customHeight="1" x14ac:dyDescent="0.2">
      <c r="A2" s="1561" t="s">
        <v>86</v>
      </c>
      <c r="B2" s="1561"/>
      <c r="C2" s="1561"/>
      <c r="D2" s="1561"/>
      <c r="E2" s="1561"/>
      <c r="F2" s="1561"/>
      <c r="G2" s="1561"/>
      <c r="H2" s="1561"/>
      <c r="I2" s="1561"/>
      <c r="J2" s="1561"/>
      <c r="K2" s="1561"/>
      <c r="L2" s="75"/>
      <c r="M2" s="75"/>
      <c r="N2" s="75"/>
      <c r="O2" s="75"/>
      <c r="P2" s="75"/>
      <c r="Q2" s="75"/>
      <c r="R2" s="75"/>
      <c r="S2" s="384"/>
    </row>
    <row r="3" spans="1:19" s="77" customFormat="1" ht="12" customHeight="1" x14ac:dyDescent="0.2">
      <c r="A3" s="1414" t="s">
        <v>292</v>
      </c>
      <c r="B3" s="1559"/>
      <c r="C3" s="1559"/>
      <c r="D3" s="1559"/>
      <c r="E3" s="1559"/>
      <c r="F3" s="1559"/>
      <c r="G3" s="1559"/>
      <c r="H3" s="1559"/>
      <c r="I3" s="1559"/>
      <c r="J3" s="1559"/>
      <c r="K3" s="1559"/>
      <c r="L3" s="1464"/>
      <c r="M3" s="1464"/>
      <c r="N3" s="1464"/>
      <c r="O3" s="1464"/>
      <c r="P3" s="1464"/>
      <c r="Q3" s="1464"/>
      <c r="R3" s="1464"/>
      <c r="S3" s="396"/>
    </row>
    <row r="4" spans="1:19" s="77" customFormat="1" ht="23.25" customHeight="1" thickBot="1" x14ac:dyDescent="0.25">
      <c r="A4" s="138"/>
      <c r="B4" s="139"/>
      <c r="C4" s="140"/>
      <c r="D4" s="140"/>
      <c r="E4" s="140"/>
      <c r="F4" s="140"/>
      <c r="G4" s="1562" t="s">
        <v>303</v>
      </c>
      <c r="H4" s="1562"/>
      <c r="I4" s="1562"/>
      <c r="J4" s="1562"/>
      <c r="K4" s="1562"/>
      <c r="L4" s="234"/>
      <c r="M4" s="234"/>
      <c r="N4" s="234"/>
      <c r="O4" s="234"/>
      <c r="P4" s="234"/>
      <c r="Q4" s="234"/>
      <c r="R4" s="234"/>
      <c r="S4" s="396"/>
    </row>
    <row r="5" spans="1:19" s="90" customFormat="1" ht="17.25" customHeight="1" thickBot="1" x14ac:dyDescent="0.25">
      <c r="A5" s="1567" t="s">
        <v>470</v>
      </c>
      <c r="B5" s="1564" t="s">
        <v>529</v>
      </c>
      <c r="C5" s="1560" t="s">
        <v>57</v>
      </c>
      <c r="D5" s="1560"/>
      <c r="E5" s="1560" t="s">
        <v>58</v>
      </c>
      <c r="F5" s="1560"/>
      <c r="G5" s="1560" t="s">
        <v>59</v>
      </c>
      <c r="H5" s="1560"/>
      <c r="I5" s="1568" t="s">
        <v>60</v>
      </c>
      <c r="J5" s="1569"/>
      <c r="K5" s="141" t="s">
        <v>471</v>
      </c>
      <c r="L5" s="203"/>
      <c r="S5" s="384"/>
    </row>
    <row r="6" spans="1:19" s="90" customFormat="1" ht="17.25" customHeight="1" thickBot="1" x14ac:dyDescent="0.25">
      <c r="A6" s="1567"/>
      <c r="B6" s="1564"/>
      <c r="C6" s="1432" t="s">
        <v>291</v>
      </c>
      <c r="D6" s="1565"/>
      <c r="E6" s="1565"/>
      <c r="F6" s="1565"/>
      <c r="G6" s="1565"/>
      <c r="H6" s="1565"/>
      <c r="I6" s="1565"/>
      <c r="J6" s="1565"/>
      <c r="K6" s="1566"/>
      <c r="L6" s="203"/>
      <c r="S6" s="384"/>
    </row>
    <row r="7" spans="1:19" ht="40.15" customHeight="1" thickBot="1" x14ac:dyDescent="0.25">
      <c r="A7" s="1567"/>
      <c r="B7" s="1564"/>
      <c r="C7" s="1552" t="s">
        <v>453</v>
      </c>
      <c r="D7" s="1552"/>
      <c r="E7" s="1552" t="s">
        <v>454</v>
      </c>
      <c r="F7" s="1552"/>
      <c r="G7" s="1552" t="s">
        <v>22</v>
      </c>
      <c r="H7" s="1552"/>
      <c r="I7" s="1553" t="s">
        <v>254</v>
      </c>
      <c r="J7" s="1554"/>
      <c r="K7" s="1563" t="s">
        <v>530</v>
      </c>
      <c r="M7" s="75"/>
      <c r="N7" s="75"/>
      <c r="O7" s="75"/>
      <c r="P7" s="75"/>
      <c r="Q7" s="75"/>
      <c r="R7" s="75"/>
      <c r="S7" s="384"/>
    </row>
    <row r="8" spans="1:19" ht="50.25" customHeight="1" thickBot="1" x14ac:dyDescent="0.25">
      <c r="A8" s="1567"/>
      <c r="B8" s="1564"/>
      <c r="C8" s="1552"/>
      <c r="D8" s="1552"/>
      <c r="E8" s="1552"/>
      <c r="F8" s="1552"/>
      <c r="G8" s="1552"/>
      <c r="H8" s="1552"/>
      <c r="I8" s="1555"/>
      <c r="J8" s="1556"/>
      <c r="K8" s="1563"/>
      <c r="M8" s="75"/>
      <c r="N8" s="75"/>
      <c r="O8" s="75"/>
      <c r="P8" s="75"/>
      <c r="Q8" s="75"/>
      <c r="R8" s="75"/>
      <c r="S8" s="384"/>
    </row>
    <row r="9" spans="1:19" ht="33" customHeight="1" thickBot="1" x14ac:dyDescent="0.25">
      <c r="A9" s="1567"/>
      <c r="B9" s="1564"/>
      <c r="C9" s="142" t="s">
        <v>62</v>
      </c>
      <c r="D9" s="143" t="s">
        <v>63</v>
      </c>
      <c r="E9" s="142" t="s">
        <v>62</v>
      </c>
      <c r="F9" s="142" t="s">
        <v>63</v>
      </c>
      <c r="G9" s="142" t="s">
        <v>62</v>
      </c>
      <c r="H9" s="142" t="s">
        <v>63</v>
      </c>
      <c r="I9" s="142" t="s">
        <v>62</v>
      </c>
      <c r="J9" s="142" t="s">
        <v>63</v>
      </c>
      <c r="K9" s="1563"/>
      <c r="M9" s="75"/>
      <c r="N9" s="75"/>
      <c r="O9" s="75"/>
      <c r="P9" s="75"/>
      <c r="Q9" s="75"/>
      <c r="R9" s="75"/>
      <c r="S9" s="384"/>
    </row>
    <row r="10" spans="1:19" ht="17.25" customHeight="1" x14ac:dyDescent="0.2">
      <c r="A10" s="144" t="s">
        <v>480</v>
      </c>
      <c r="B10" s="145" t="s">
        <v>244</v>
      </c>
      <c r="C10" s="146">
        <v>1600</v>
      </c>
      <c r="E10" s="147"/>
      <c r="F10" s="148"/>
      <c r="G10" s="147"/>
      <c r="H10" s="358"/>
      <c r="I10" s="148"/>
      <c r="J10" s="148"/>
      <c r="K10" s="149">
        <f t="shared" ref="K10:K39" si="0">SUM(C10:J10)</f>
        <v>1600</v>
      </c>
      <c r="M10" s="75"/>
      <c r="N10" s="75"/>
      <c r="O10" s="75"/>
      <c r="P10" s="75"/>
      <c r="Q10" s="75"/>
      <c r="R10" s="75"/>
      <c r="S10" s="384"/>
    </row>
    <row r="11" spans="1:19" s="76" customFormat="1" ht="17.25" customHeight="1" x14ac:dyDescent="0.2">
      <c r="A11" s="144" t="s">
        <v>488</v>
      </c>
      <c r="B11" s="354" t="s">
        <v>245</v>
      </c>
      <c r="C11" s="355">
        <v>33533</v>
      </c>
      <c r="D11" s="356"/>
      <c r="E11" s="405">
        <f>'közhatalmi bevételek'!D25</f>
        <v>9000</v>
      </c>
      <c r="F11" s="150"/>
      <c r="G11" s="151"/>
      <c r="H11" s="359"/>
      <c r="I11" s="150"/>
      <c r="J11" s="150"/>
      <c r="K11" s="149">
        <f t="shared" si="0"/>
        <v>42533</v>
      </c>
      <c r="L11" s="193"/>
      <c r="S11" s="397"/>
    </row>
    <row r="12" spans="1:19" ht="17.25" customHeight="1" x14ac:dyDescent="0.2">
      <c r="A12" s="144" t="s">
        <v>489</v>
      </c>
      <c r="B12" s="118" t="s">
        <v>246</v>
      </c>
      <c r="C12" s="102"/>
      <c r="D12" s="92">
        <v>53</v>
      </c>
      <c r="E12" s="93"/>
      <c r="F12" s="92"/>
      <c r="G12" s="93"/>
      <c r="H12" s="328"/>
      <c r="I12" s="92"/>
      <c r="J12" s="92"/>
      <c r="K12" s="149">
        <f t="shared" si="0"/>
        <v>53</v>
      </c>
      <c r="M12" s="75"/>
      <c r="N12" s="75"/>
      <c r="O12" s="75"/>
      <c r="P12" s="75"/>
      <c r="Q12" s="75"/>
      <c r="R12" s="75"/>
      <c r="S12" s="384"/>
    </row>
    <row r="13" spans="1:19" ht="17.25" customHeight="1" x14ac:dyDescent="0.2">
      <c r="A13" s="144" t="s">
        <v>490</v>
      </c>
      <c r="B13" s="118" t="s">
        <v>247</v>
      </c>
      <c r="C13" s="102"/>
      <c r="D13" s="92">
        <v>391</v>
      </c>
      <c r="E13" s="93"/>
      <c r="F13" s="92"/>
      <c r="G13" s="93"/>
      <c r="H13" s="360"/>
      <c r="I13" s="152"/>
      <c r="J13" s="152"/>
      <c r="K13" s="149">
        <f t="shared" si="0"/>
        <v>391</v>
      </c>
      <c r="M13" s="75"/>
      <c r="N13" s="75"/>
      <c r="O13" s="75"/>
      <c r="P13" s="75"/>
      <c r="Q13" s="75"/>
      <c r="R13" s="75"/>
      <c r="S13" s="384"/>
    </row>
    <row r="14" spans="1:19" ht="17.25" customHeight="1" x14ac:dyDescent="0.2">
      <c r="A14" s="144" t="s">
        <v>491</v>
      </c>
      <c r="B14" s="118" t="s">
        <v>248</v>
      </c>
      <c r="C14" s="102"/>
      <c r="D14" s="92"/>
      <c r="E14" s="93"/>
      <c r="F14" s="92"/>
      <c r="G14" s="93"/>
      <c r="H14" s="360"/>
      <c r="I14" s="152"/>
      <c r="J14" s="152"/>
      <c r="K14" s="149">
        <f t="shared" si="0"/>
        <v>0</v>
      </c>
      <c r="M14" s="75"/>
      <c r="N14" s="75"/>
      <c r="O14" s="75"/>
      <c r="P14" s="75"/>
      <c r="Q14" s="75"/>
      <c r="R14" s="75"/>
      <c r="S14" s="384"/>
    </row>
    <row r="15" spans="1:19" ht="17.25" customHeight="1" x14ac:dyDescent="0.2">
      <c r="A15" s="144" t="s">
        <v>492</v>
      </c>
      <c r="B15" s="118" t="s">
        <v>249</v>
      </c>
      <c r="C15" s="102"/>
      <c r="D15" s="92">
        <v>20031</v>
      </c>
      <c r="E15" s="93"/>
      <c r="F15" s="92"/>
      <c r="G15" s="93"/>
      <c r="H15" s="360"/>
      <c r="I15" s="152"/>
      <c r="J15" s="152"/>
      <c r="K15" s="149">
        <f t="shared" si="0"/>
        <v>20031</v>
      </c>
      <c r="M15" s="75"/>
      <c r="N15" s="75"/>
      <c r="O15" s="75"/>
      <c r="P15" s="75"/>
      <c r="Q15" s="75"/>
      <c r="R15" s="75"/>
      <c r="S15" s="384"/>
    </row>
    <row r="16" spans="1:19" ht="17.25" customHeight="1" x14ac:dyDescent="0.2">
      <c r="A16" s="144" t="s">
        <v>493</v>
      </c>
      <c r="B16" s="118" t="s">
        <v>250</v>
      </c>
      <c r="C16" s="102">
        <v>3600</v>
      </c>
      <c r="D16" s="92">
        <v>8084</v>
      </c>
      <c r="E16" s="93"/>
      <c r="F16" s="92"/>
      <c r="G16" s="93"/>
      <c r="H16" s="360"/>
      <c r="I16" s="152"/>
      <c r="J16" s="152"/>
      <c r="K16" s="149">
        <f t="shared" si="0"/>
        <v>11684</v>
      </c>
      <c r="M16" s="75"/>
      <c r="N16" s="75"/>
      <c r="O16" s="75"/>
      <c r="P16" s="75"/>
      <c r="Q16" s="75"/>
      <c r="R16" s="75"/>
      <c r="S16" s="384"/>
    </row>
    <row r="17" spans="1:19" ht="17.25" customHeight="1" x14ac:dyDescent="0.2">
      <c r="A17" s="144" t="s">
        <v>494</v>
      </c>
      <c r="B17" s="118" t="s">
        <v>251</v>
      </c>
      <c r="C17" s="102"/>
      <c r="D17" s="92">
        <v>10160</v>
      </c>
      <c r="E17" s="93"/>
      <c r="F17" s="92"/>
      <c r="G17" s="93"/>
      <c r="H17" s="360"/>
      <c r="I17" s="152"/>
      <c r="J17" s="152"/>
      <c r="K17" s="149">
        <f t="shared" si="0"/>
        <v>10160</v>
      </c>
      <c r="M17" s="75"/>
      <c r="N17" s="75"/>
      <c r="O17" s="75"/>
      <c r="P17" s="75"/>
      <c r="Q17" s="75"/>
      <c r="R17" s="75"/>
      <c r="S17" s="384"/>
    </row>
    <row r="18" spans="1:19" ht="17.25" customHeight="1" x14ac:dyDescent="0.2">
      <c r="A18" s="144" t="s">
        <v>495</v>
      </c>
      <c r="B18" s="118" t="s">
        <v>252</v>
      </c>
      <c r="C18" s="102">
        <v>183</v>
      </c>
      <c r="D18" s="92"/>
      <c r="E18" s="93"/>
      <c r="F18" s="92"/>
      <c r="G18" s="93"/>
      <c r="H18" s="360"/>
      <c r="I18" s="152"/>
      <c r="J18" s="152"/>
      <c r="K18" s="149">
        <f t="shared" si="0"/>
        <v>183</v>
      </c>
      <c r="M18" s="75"/>
      <c r="N18" s="75"/>
      <c r="O18" s="75"/>
      <c r="P18" s="75"/>
      <c r="Q18" s="75"/>
      <c r="R18" s="75"/>
      <c r="S18" s="384"/>
    </row>
    <row r="19" spans="1:19" ht="17.25" customHeight="1" x14ac:dyDescent="0.2">
      <c r="A19" s="144" t="s">
        <v>531</v>
      </c>
      <c r="B19" s="120" t="s">
        <v>253</v>
      </c>
      <c r="C19" s="102">
        <v>1288</v>
      </c>
      <c r="D19" s="92">
        <v>2062</v>
      </c>
      <c r="E19" s="93"/>
      <c r="F19" s="92"/>
      <c r="G19" s="93" t="e">
        <f>'tám, végl. pe.átv  '!#REF!</f>
        <v>#REF!</v>
      </c>
      <c r="H19" s="328"/>
      <c r="J19" s="91">
        <v>0</v>
      </c>
      <c r="K19" s="149" t="e">
        <f>SUM(C19:J19)</f>
        <v>#REF!</v>
      </c>
      <c r="M19" s="75"/>
      <c r="N19" s="75"/>
      <c r="O19" s="75"/>
      <c r="P19" s="75"/>
      <c r="Q19" s="75"/>
      <c r="R19" s="75"/>
      <c r="S19" s="384"/>
    </row>
    <row r="20" spans="1:19" ht="17.25" customHeight="1" x14ac:dyDescent="0.2">
      <c r="A20" s="144" t="s">
        <v>532</v>
      </c>
      <c r="B20" s="118" t="s">
        <v>275</v>
      </c>
      <c r="C20" s="102">
        <v>25</v>
      </c>
      <c r="D20" s="92"/>
      <c r="E20" s="93"/>
      <c r="F20" s="92"/>
      <c r="G20" s="343">
        <v>447</v>
      </c>
      <c r="H20" s="361"/>
      <c r="I20" s="205"/>
      <c r="J20" s="205"/>
      <c r="K20" s="149">
        <f t="shared" si="0"/>
        <v>472</v>
      </c>
      <c r="M20" s="75"/>
      <c r="N20" s="75"/>
      <c r="O20" s="75"/>
      <c r="P20" s="75"/>
      <c r="Q20" s="75"/>
      <c r="R20" s="75"/>
      <c r="S20" s="384"/>
    </row>
    <row r="21" spans="1:19" s="77" customFormat="1" ht="17.25" customHeight="1" x14ac:dyDescent="0.2">
      <c r="A21" s="144" t="s">
        <v>533</v>
      </c>
      <c r="B21" s="118" t="s">
        <v>276</v>
      </c>
      <c r="C21" s="102"/>
      <c r="D21" s="92"/>
      <c r="E21" s="93"/>
      <c r="F21" s="92"/>
      <c r="G21" s="343">
        <f>'tám, végl. pe.átv  '!C11</f>
        <v>781948</v>
      </c>
      <c r="H21" s="339">
        <f>'tám, végl. pe.átv  '!D11</f>
        <v>106500</v>
      </c>
      <c r="I21" s="193"/>
      <c r="J21" s="193"/>
      <c r="K21" s="149">
        <f t="shared" si="0"/>
        <v>888448</v>
      </c>
      <c r="L21" s="205"/>
      <c r="S21" s="398"/>
    </row>
    <row r="22" spans="1:19" ht="17.25" customHeight="1" x14ac:dyDescent="0.2">
      <c r="A22" s="144" t="s">
        <v>534</v>
      </c>
      <c r="B22" s="118" t="s">
        <v>277</v>
      </c>
      <c r="C22" s="102"/>
      <c r="D22" s="92"/>
      <c r="E22" s="93"/>
      <c r="F22" s="92"/>
      <c r="G22" s="343">
        <f>'tám, végl. pe.átv  '!C17</f>
        <v>268</v>
      </c>
      <c r="H22" s="361"/>
      <c r="I22" s="205"/>
      <c r="J22" s="205"/>
      <c r="K22" s="149">
        <f t="shared" si="0"/>
        <v>268</v>
      </c>
      <c r="M22" s="75"/>
      <c r="N22" s="75"/>
      <c r="O22" s="75"/>
      <c r="P22" s="75"/>
      <c r="Q22" s="75"/>
      <c r="R22" s="75"/>
      <c r="S22" s="384"/>
    </row>
    <row r="23" spans="1:19" ht="17.25" customHeight="1" x14ac:dyDescent="0.2">
      <c r="A23" s="144" t="s">
        <v>535</v>
      </c>
      <c r="B23" s="118" t="s">
        <v>289</v>
      </c>
      <c r="C23" s="102"/>
      <c r="D23" s="92"/>
      <c r="E23" s="93"/>
      <c r="F23" s="92"/>
      <c r="G23" s="343"/>
      <c r="H23" s="339">
        <f>'tám, végl. pe.átv  '!D18</f>
        <v>0</v>
      </c>
      <c r="I23" s="205"/>
      <c r="J23" s="205"/>
      <c r="K23" s="149">
        <f t="shared" si="0"/>
        <v>0</v>
      </c>
      <c r="M23" s="75"/>
      <c r="N23" s="75"/>
      <c r="O23" s="75"/>
      <c r="P23" s="75"/>
      <c r="Q23" s="75"/>
      <c r="R23" s="75"/>
      <c r="S23" s="384"/>
    </row>
    <row r="24" spans="1:19" ht="17.25" customHeight="1" x14ac:dyDescent="0.2">
      <c r="A24" s="144" t="s">
        <v>536</v>
      </c>
      <c r="B24" s="118" t="s">
        <v>290</v>
      </c>
      <c r="C24" s="102"/>
      <c r="D24" s="92"/>
      <c r="E24" s="93"/>
      <c r="F24" s="92"/>
      <c r="G24" s="343">
        <v>1300</v>
      </c>
      <c r="H24" s="361"/>
      <c r="I24" s="205"/>
      <c r="J24" s="205"/>
      <c r="K24" s="149">
        <f t="shared" si="0"/>
        <v>1300</v>
      </c>
      <c r="M24" s="75"/>
      <c r="N24" s="75"/>
      <c r="O24" s="75"/>
      <c r="P24" s="75"/>
      <c r="Q24" s="75"/>
      <c r="R24" s="75"/>
      <c r="S24" s="384"/>
    </row>
    <row r="25" spans="1:19" ht="17.25" customHeight="1" x14ac:dyDescent="0.2">
      <c r="A25" s="144" t="s">
        <v>537</v>
      </c>
      <c r="B25" s="118" t="s">
        <v>278</v>
      </c>
      <c r="C25" s="102"/>
      <c r="D25" s="92"/>
      <c r="E25" s="93"/>
      <c r="F25" s="92"/>
      <c r="G25" s="343">
        <v>14203</v>
      </c>
      <c r="H25" s="339"/>
      <c r="I25" s="193"/>
      <c r="J25" s="193"/>
      <c r="K25" s="149">
        <f t="shared" si="0"/>
        <v>14203</v>
      </c>
      <c r="M25" s="75"/>
      <c r="N25" s="75"/>
      <c r="O25" s="75"/>
      <c r="P25" s="75"/>
      <c r="Q25" s="75"/>
      <c r="R25" s="75"/>
      <c r="S25" s="384"/>
    </row>
    <row r="26" spans="1:19" ht="17.25" customHeight="1" x14ac:dyDescent="0.2">
      <c r="A26" s="144" t="s">
        <v>538</v>
      </c>
      <c r="B26" s="118" t="s">
        <v>255</v>
      </c>
      <c r="C26" s="102"/>
      <c r="E26" s="93">
        <f>'közhatalmi bevételek'!D13</f>
        <v>345058</v>
      </c>
      <c r="F26" s="92">
        <f>'közhatalmi bevételek'!E13</f>
        <v>863942</v>
      </c>
      <c r="G26" s="93"/>
      <c r="H26" s="360"/>
      <c r="I26" s="152"/>
      <c r="J26" s="152"/>
      <c r="K26" s="149">
        <f t="shared" si="0"/>
        <v>1209000</v>
      </c>
      <c r="M26" s="75"/>
      <c r="N26" s="75"/>
      <c r="O26" s="75"/>
      <c r="P26" s="75"/>
      <c r="Q26" s="75"/>
      <c r="R26" s="75"/>
      <c r="S26" s="384"/>
    </row>
    <row r="27" spans="1:19" ht="17.25" customHeight="1" x14ac:dyDescent="0.2">
      <c r="A27" s="144" t="s">
        <v>540</v>
      </c>
      <c r="B27" s="120" t="s">
        <v>539</v>
      </c>
      <c r="C27" s="102"/>
      <c r="E27" s="93"/>
      <c r="F27" s="92"/>
      <c r="G27" s="93"/>
      <c r="H27" s="360"/>
      <c r="I27" s="152"/>
      <c r="J27" s="152"/>
      <c r="K27" s="149">
        <f t="shared" si="0"/>
        <v>0</v>
      </c>
      <c r="M27" s="75"/>
      <c r="N27" s="75"/>
      <c r="O27" s="75"/>
      <c r="P27" s="75"/>
      <c r="Q27" s="75"/>
      <c r="R27" s="75"/>
      <c r="S27" s="384"/>
    </row>
    <row r="28" spans="1:19" ht="17.25" customHeight="1" x14ac:dyDescent="0.2">
      <c r="A28" s="144" t="s">
        <v>541</v>
      </c>
      <c r="B28" s="118" t="s">
        <v>279</v>
      </c>
      <c r="C28" s="102"/>
      <c r="E28" s="93">
        <f>'közhatalmi bevételek'!D19</f>
        <v>17000</v>
      </c>
      <c r="F28" s="92"/>
      <c r="G28" s="93"/>
      <c r="H28" s="360"/>
      <c r="I28" s="152"/>
      <c r="J28" s="152"/>
      <c r="K28" s="149">
        <f t="shared" si="0"/>
        <v>17000</v>
      </c>
      <c r="M28" s="75"/>
      <c r="N28" s="75"/>
      <c r="O28" s="75"/>
      <c r="P28" s="75"/>
      <c r="Q28" s="75"/>
      <c r="R28" s="75"/>
      <c r="S28" s="384"/>
    </row>
    <row r="29" spans="1:19" s="77" customFormat="1" ht="17.25" customHeight="1" x14ac:dyDescent="0.2">
      <c r="A29" s="144" t="s">
        <v>542</v>
      </c>
      <c r="B29" s="118" t="s">
        <v>256</v>
      </c>
      <c r="C29" s="102"/>
      <c r="D29" s="94"/>
      <c r="E29" s="343">
        <f>'közhatalmi bevételek'!D15</f>
        <v>4500</v>
      </c>
      <c r="F29" s="92">
        <f>'közhatalmi bevételek'!E15</f>
        <v>0</v>
      </c>
      <c r="G29" s="102"/>
      <c r="H29" s="360"/>
      <c r="I29" s="152"/>
      <c r="J29" s="152"/>
      <c r="K29" s="149">
        <f t="shared" si="0"/>
        <v>4500</v>
      </c>
      <c r="L29" s="205"/>
      <c r="S29" s="398"/>
    </row>
    <row r="30" spans="1:19" ht="17.25" customHeight="1" x14ac:dyDescent="0.2">
      <c r="A30" s="144" t="s">
        <v>543</v>
      </c>
      <c r="B30" s="118" t="s">
        <v>257</v>
      </c>
      <c r="C30" s="102"/>
      <c r="D30" s="92"/>
      <c r="E30" s="343">
        <f>'közhatalmi bevételek'!D24</f>
        <v>820</v>
      </c>
      <c r="F30" s="92"/>
      <c r="G30" s="93"/>
      <c r="H30" s="360"/>
      <c r="I30" s="152"/>
      <c r="J30" s="152"/>
      <c r="K30" s="149">
        <f t="shared" si="0"/>
        <v>820</v>
      </c>
      <c r="M30" s="75"/>
      <c r="N30" s="75"/>
      <c r="O30" s="75"/>
      <c r="P30" s="75"/>
      <c r="Q30" s="75"/>
      <c r="R30" s="75"/>
      <c r="S30" s="384"/>
    </row>
    <row r="31" spans="1:19" ht="17.25" customHeight="1" x14ac:dyDescent="0.2">
      <c r="A31" s="144" t="s">
        <v>544</v>
      </c>
      <c r="B31" s="118" t="s">
        <v>258</v>
      </c>
      <c r="C31" s="102"/>
      <c r="D31" s="92"/>
      <c r="E31" s="93"/>
      <c r="F31" s="92"/>
      <c r="G31" s="93"/>
      <c r="H31" s="360"/>
      <c r="I31" s="152"/>
      <c r="J31" s="152"/>
      <c r="K31" s="149">
        <f t="shared" si="0"/>
        <v>0</v>
      </c>
      <c r="M31" s="75"/>
      <c r="N31" s="75"/>
      <c r="O31" s="75"/>
      <c r="P31" s="75"/>
      <c r="Q31" s="75"/>
      <c r="R31" s="75"/>
      <c r="S31" s="384"/>
    </row>
    <row r="32" spans="1:19" ht="17.25" customHeight="1" x14ac:dyDescent="0.2">
      <c r="A32" s="144" t="s">
        <v>546</v>
      </c>
      <c r="B32" s="118" t="s">
        <v>259</v>
      </c>
      <c r="C32" s="102">
        <v>140</v>
      </c>
      <c r="D32" s="92">
        <v>46</v>
      </c>
      <c r="E32" s="93"/>
      <c r="F32" s="92"/>
      <c r="G32" s="93"/>
      <c r="H32" s="360"/>
      <c r="I32" s="152"/>
      <c r="J32" s="152"/>
      <c r="K32" s="149">
        <f t="shared" si="0"/>
        <v>186</v>
      </c>
      <c r="M32" s="75"/>
      <c r="N32" s="75"/>
      <c r="O32" s="75"/>
      <c r="P32" s="75"/>
      <c r="Q32" s="75"/>
      <c r="R32" s="75"/>
      <c r="S32" s="384"/>
    </row>
    <row r="33" spans="1:19" ht="17.25" customHeight="1" x14ac:dyDescent="0.2">
      <c r="A33" s="144" t="s">
        <v>547</v>
      </c>
      <c r="B33" s="145" t="s">
        <v>260</v>
      </c>
      <c r="C33" s="153"/>
      <c r="D33" s="148"/>
      <c r="E33" s="147"/>
      <c r="F33" s="148"/>
      <c r="G33" s="344">
        <v>5065</v>
      </c>
      <c r="H33" s="360"/>
      <c r="I33" s="152"/>
      <c r="J33" s="152"/>
      <c r="K33" s="149">
        <f t="shared" si="0"/>
        <v>5065</v>
      </c>
      <c r="M33" s="75"/>
      <c r="N33" s="75"/>
      <c r="O33" s="75"/>
      <c r="P33" s="75"/>
      <c r="Q33" s="75"/>
      <c r="R33" s="75"/>
      <c r="S33" s="384"/>
    </row>
    <row r="34" spans="1:19" ht="17.25" customHeight="1" x14ac:dyDescent="0.2">
      <c r="A34" s="144" t="s">
        <v>567</v>
      </c>
      <c r="B34" s="145" t="s">
        <v>261</v>
      </c>
      <c r="C34" s="153"/>
      <c r="D34" s="148"/>
      <c r="E34" s="147"/>
      <c r="F34" s="148"/>
      <c r="G34" s="344">
        <v>0</v>
      </c>
      <c r="H34" s="360"/>
      <c r="I34" s="152"/>
      <c r="J34" s="152"/>
      <c r="K34" s="149">
        <f t="shared" si="0"/>
        <v>0</v>
      </c>
      <c r="M34" s="75"/>
      <c r="N34" s="75"/>
      <c r="O34" s="75"/>
      <c r="P34" s="75"/>
      <c r="Q34" s="75"/>
      <c r="R34" s="75"/>
      <c r="S34" s="384"/>
    </row>
    <row r="35" spans="1:19" ht="17.25" customHeight="1" x14ac:dyDescent="0.2">
      <c r="A35" s="144" t="s">
        <v>568</v>
      </c>
      <c r="B35" s="145" t="s">
        <v>262</v>
      </c>
      <c r="C35" s="153"/>
      <c r="D35" s="148"/>
      <c r="E35" s="147"/>
      <c r="F35" s="148"/>
      <c r="G35" s="344">
        <v>455</v>
      </c>
      <c r="H35" s="360"/>
      <c r="I35" s="152"/>
      <c r="J35" s="152"/>
      <c r="K35" s="149">
        <f t="shared" si="0"/>
        <v>455</v>
      </c>
      <c r="M35" s="75"/>
      <c r="N35" s="75"/>
      <c r="O35" s="75"/>
      <c r="P35" s="75"/>
      <c r="Q35" s="75"/>
      <c r="R35" s="75"/>
      <c r="S35" s="384"/>
    </row>
    <row r="36" spans="1:19" ht="17.25" customHeight="1" x14ac:dyDescent="0.2">
      <c r="A36" s="144" t="s">
        <v>569</v>
      </c>
      <c r="B36" s="145" t="s">
        <v>551</v>
      </c>
      <c r="C36" s="153"/>
      <c r="D36" s="148"/>
      <c r="E36" s="147"/>
      <c r="F36" s="148"/>
      <c r="G36" s="344">
        <v>500</v>
      </c>
      <c r="H36" s="360"/>
      <c r="I36" s="152"/>
      <c r="J36" s="152"/>
      <c r="K36" s="149">
        <f t="shared" si="0"/>
        <v>500</v>
      </c>
      <c r="M36" s="75"/>
      <c r="N36" s="75"/>
      <c r="O36" s="75"/>
      <c r="P36" s="75"/>
      <c r="Q36" s="75"/>
      <c r="R36" s="75"/>
      <c r="S36" s="384"/>
    </row>
    <row r="37" spans="1:19" ht="17.25" customHeight="1" x14ac:dyDescent="0.2">
      <c r="A37" s="144" t="s">
        <v>570</v>
      </c>
      <c r="B37" s="145" t="s">
        <v>263</v>
      </c>
      <c r="C37" s="153"/>
      <c r="D37" s="148"/>
      <c r="E37" s="147"/>
      <c r="F37" s="148"/>
      <c r="G37" s="344">
        <v>2032</v>
      </c>
      <c r="H37" s="360"/>
      <c r="I37" s="152"/>
      <c r="J37" s="152"/>
      <c r="K37" s="149">
        <f t="shared" si="0"/>
        <v>2032</v>
      </c>
      <c r="M37" s="75"/>
      <c r="N37" s="75"/>
      <c r="O37" s="75"/>
      <c r="P37" s="75"/>
      <c r="Q37" s="75"/>
      <c r="R37" s="75"/>
      <c r="S37" s="384"/>
    </row>
    <row r="38" spans="1:19" ht="17.25" customHeight="1" x14ac:dyDescent="0.2">
      <c r="A38" s="144" t="s">
        <v>571</v>
      </c>
      <c r="B38" s="145" t="s">
        <v>264</v>
      </c>
      <c r="C38" s="153"/>
      <c r="D38" s="346">
        <v>2286</v>
      </c>
      <c r="E38" s="153"/>
      <c r="F38" s="148"/>
      <c r="G38" s="345"/>
      <c r="H38" s="328"/>
      <c r="K38" s="149">
        <f t="shared" si="0"/>
        <v>2286</v>
      </c>
      <c r="M38" s="75"/>
      <c r="N38" s="75"/>
      <c r="O38" s="75"/>
      <c r="P38" s="75"/>
      <c r="Q38" s="75"/>
      <c r="R38" s="75"/>
      <c r="S38" s="384"/>
    </row>
    <row r="39" spans="1:19" ht="17.25" customHeight="1" thickBot="1" x14ac:dyDescent="0.25">
      <c r="A39" s="144" t="s">
        <v>572</v>
      </c>
      <c r="B39" s="145" t="s">
        <v>265</v>
      </c>
      <c r="C39" s="153"/>
      <c r="D39" s="148"/>
      <c r="E39" s="147"/>
      <c r="F39" s="148"/>
      <c r="G39" s="147"/>
      <c r="H39" s="360"/>
      <c r="I39" s="152"/>
      <c r="J39" s="152"/>
      <c r="K39" s="149">
        <f t="shared" si="0"/>
        <v>0</v>
      </c>
      <c r="M39" s="75"/>
      <c r="N39" s="75"/>
      <c r="O39" s="75"/>
      <c r="P39" s="75"/>
      <c r="Q39" s="75"/>
      <c r="R39" s="75"/>
      <c r="S39" s="384"/>
    </row>
    <row r="40" spans="1:19" ht="17.25" customHeight="1" thickBot="1" x14ac:dyDescent="0.25">
      <c r="A40" s="1579" t="s">
        <v>576</v>
      </c>
      <c r="B40" s="1580"/>
      <c r="C40" s="244">
        <f>SUM(C10:C39)</f>
        <v>40369</v>
      </c>
      <c r="D40" s="244">
        <f>SUM(D10:D39)</f>
        <v>43113</v>
      </c>
      <c r="E40" s="372">
        <f>SUM(E10:E39)</f>
        <v>376378</v>
      </c>
      <c r="F40" s="373">
        <f>SUM(F10:F39)</f>
        <v>863942</v>
      </c>
      <c r="G40" s="244" t="e">
        <f>SUM(G10:G39)</f>
        <v>#REF!</v>
      </c>
      <c r="H40" s="362">
        <f>SUM(H12:H39)</f>
        <v>106500</v>
      </c>
      <c r="I40" s="362">
        <f>SUM(I12:I39)</f>
        <v>0</v>
      </c>
      <c r="J40" s="362">
        <f>SUM(J12:J39)</f>
        <v>0</v>
      </c>
      <c r="K40" s="245" t="e">
        <f>SUM(C40:J40)</f>
        <v>#REF!</v>
      </c>
      <c r="M40" s="75"/>
      <c r="N40" s="75"/>
      <c r="O40" s="75"/>
      <c r="P40" s="75"/>
      <c r="Q40" s="75"/>
      <c r="R40" s="75"/>
      <c r="S40" s="384"/>
    </row>
    <row r="41" spans="1:19" ht="17.25" customHeight="1" x14ac:dyDescent="0.2">
      <c r="M41" s="75"/>
      <c r="N41" s="75"/>
      <c r="O41" s="75"/>
      <c r="P41" s="75"/>
      <c r="Q41" s="75"/>
      <c r="R41" s="75"/>
      <c r="S41" s="384"/>
    </row>
    <row r="42" spans="1:19" ht="17.25" customHeight="1" x14ac:dyDescent="0.2">
      <c r="M42" s="75"/>
      <c r="N42" s="75"/>
      <c r="O42" s="75"/>
      <c r="P42" s="75"/>
      <c r="Q42" s="75"/>
      <c r="R42" s="75"/>
      <c r="S42" s="384"/>
    </row>
    <row r="43" spans="1:19" ht="17.25" customHeight="1" x14ac:dyDescent="0.2">
      <c r="M43" s="75"/>
      <c r="N43" s="75"/>
      <c r="O43" s="75"/>
      <c r="P43" s="75"/>
      <c r="Q43" s="75"/>
      <c r="R43" s="75"/>
      <c r="S43" s="384"/>
    </row>
    <row r="44" spans="1:19" ht="17.25" customHeight="1" x14ac:dyDescent="0.2">
      <c r="M44" s="75"/>
      <c r="N44" s="75"/>
      <c r="O44" s="75"/>
      <c r="P44" s="75"/>
      <c r="Q44" s="75"/>
      <c r="R44" s="75"/>
      <c r="S44" s="384"/>
    </row>
    <row r="45" spans="1:19" ht="17.25" customHeight="1" x14ac:dyDescent="0.2">
      <c r="M45" s="75"/>
      <c r="N45" s="75"/>
      <c r="O45" s="75"/>
      <c r="P45" s="75"/>
      <c r="Q45" s="75"/>
      <c r="R45" s="75"/>
      <c r="S45" s="384"/>
    </row>
    <row r="46" spans="1:19" ht="17.25" customHeight="1" x14ac:dyDescent="0.2">
      <c r="M46" s="75"/>
      <c r="N46" s="75"/>
      <c r="O46" s="75"/>
      <c r="P46" s="75"/>
      <c r="Q46" s="75"/>
      <c r="R46" s="75"/>
      <c r="S46" s="384"/>
    </row>
    <row r="47" spans="1:19" ht="17.25" customHeight="1" x14ac:dyDescent="0.2">
      <c r="M47" s="75"/>
      <c r="N47" s="75"/>
      <c r="O47" s="75"/>
      <c r="P47" s="75"/>
      <c r="Q47" s="75"/>
      <c r="R47" s="75"/>
      <c r="S47" s="384"/>
    </row>
    <row r="48" spans="1:19" ht="17.25" customHeight="1" x14ac:dyDescent="0.2">
      <c r="M48" s="75"/>
      <c r="N48" s="75"/>
      <c r="O48" s="75"/>
      <c r="P48" s="75"/>
      <c r="Q48" s="75"/>
      <c r="R48" s="75"/>
      <c r="S48" s="384"/>
    </row>
    <row r="49" spans="2:24" ht="17.25" customHeight="1" x14ac:dyDescent="0.2">
      <c r="M49" s="75"/>
      <c r="N49" s="75"/>
      <c r="O49" s="75"/>
      <c r="P49" s="75"/>
      <c r="Q49" s="75"/>
      <c r="R49" s="75"/>
      <c r="S49" s="384"/>
    </row>
    <row r="50" spans="2:24" ht="17.25" customHeight="1" x14ac:dyDescent="0.2">
      <c r="M50" s="75"/>
      <c r="N50" s="75"/>
      <c r="O50" s="75"/>
      <c r="P50" s="75"/>
      <c r="Q50" s="75"/>
      <c r="R50" s="75"/>
      <c r="S50" s="384"/>
    </row>
    <row r="51" spans="2:24" ht="17.25" customHeight="1" x14ac:dyDescent="0.2">
      <c r="M51" s="75"/>
      <c r="N51" s="75"/>
      <c r="O51" s="75"/>
      <c r="P51" s="75"/>
      <c r="Q51" s="75"/>
      <c r="R51" s="75"/>
      <c r="S51" s="384"/>
    </row>
    <row r="52" spans="2:24" ht="17.25" customHeight="1" x14ac:dyDescent="0.2">
      <c r="M52" s="75"/>
      <c r="N52" s="75"/>
      <c r="O52" s="75"/>
      <c r="P52" s="75"/>
      <c r="Q52" s="75"/>
      <c r="R52" s="75"/>
      <c r="S52" s="384"/>
    </row>
    <row r="53" spans="2:24" ht="17.25" customHeight="1" x14ac:dyDescent="0.2">
      <c r="M53" s="75"/>
      <c r="N53" s="75"/>
      <c r="O53" s="75"/>
      <c r="P53" s="75"/>
      <c r="Q53" s="75"/>
      <c r="R53" s="75"/>
      <c r="S53" s="384"/>
    </row>
    <row r="54" spans="2:24" ht="17.25" customHeight="1" x14ac:dyDescent="0.2">
      <c r="M54" s="75"/>
      <c r="N54" s="75"/>
      <c r="O54" s="75"/>
      <c r="P54" s="75"/>
      <c r="Q54" s="75"/>
      <c r="R54" s="75"/>
      <c r="S54" s="384"/>
    </row>
    <row r="55" spans="2:24" ht="17.25" customHeight="1" x14ac:dyDescent="0.2">
      <c r="M55" s="75"/>
      <c r="N55" s="75"/>
      <c r="O55" s="75"/>
      <c r="P55" s="75"/>
      <c r="Q55" s="75"/>
      <c r="R55" s="75"/>
      <c r="S55" s="384"/>
    </row>
    <row r="56" spans="2:24" ht="17.25" customHeight="1" x14ac:dyDescent="0.2">
      <c r="M56" s="75"/>
      <c r="N56" s="75"/>
      <c r="O56" s="75"/>
      <c r="P56" s="75"/>
      <c r="Q56" s="75"/>
      <c r="R56" s="75"/>
      <c r="S56" s="384"/>
    </row>
    <row r="57" spans="2:24" ht="17.25" customHeight="1" x14ac:dyDescent="0.2">
      <c r="M57" s="75"/>
      <c r="N57" s="75"/>
      <c r="O57" s="75"/>
      <c r="P57" s="75"/>
      <c r="Q57" s="75"/>
      <c r="R57" s="75"/>
      <c r="S57" s="384"/>
    </row>
    <row r="58" spans="2:24" ht="17.25" customHeight="1" x14ac:dyDescent="0.2">
      <c r="M58" s="75"/>
      <c r="N58" s="75"/>
      <c r="O58" s="75"/>
      <c r="P58" s="75"/>
      <c r="Q58" s="75"/>
      <c r="R58" s="75"/>
      <c r="S58" s="384"/>
    </row>
    <row r="64" spans="2:24" ht="17.25" customHeight="1" x14ac:dyDescent="0.2">
      <c r="B64" s="1557" t="s">
        <v>552</v>
      </c>
      <c r="C64" s="1464"/>
      <c r="D64" s="1464"/>
      <c r="E64" s="1464"/>
      <c r="F64" s="1464"/>
      <c r="G64" s="1464"/>
      <c r="H64" s="1464"/>
      <c r="I64" s="1464"/>
      <c r="J64" s="1464"/>
      <c r="K64" s="1464"/>
      <c r="L64" s="1464"/>
      <c r="M64" s="1464"/>
      <c r="N64" s="1464"/>
      <c r="O64" s="1464"/>
      <c r="P64" s="1464"/>
      <c r="Q64" s="1464"/>
      <c r="R64" s="1464"/>
      <c r="W64" s="76"/>
      <c r="X64" s="76"/>
    </row>
    <row r="65" spans="1:23" ht="17.25" customHeight="1" x14ac:dyDescent="0.2">
      <c r="D65" s="89"/>
      <c r="E65" s="89"/>
      <c r="F65" s="89"/>
      <c r="G65" s="89"/>
      <c r="H65" s="89"/>
      <c r="I65" s="89"/>
      <c r="J65" s="89"/>
      <c r="K65" s="89"/>
      <c r="W65" s="76"/>
    </row>
    <row r="66" spans="1:23" ht="17.25" customHeight="1" x14ac:dyDescent="0.2">
      <c r="A66" s="1414" t="s">
        <v>528</v>
      </c>
      <c r="B66" s="1464"/>
      <c r="C66" s="1464"/>
      <c r="D66" s="1464"/>
      <c r="E66" s="1464"/>
      <c r="F66" s="1464"/>
      <c r="G66" s="1464"/>
      <c r="H66" s="1464"/>
      <c r="I66" s="1464"/>
      <c r="J66" s="1464"/>
      <c r="K66" s="1464"/>
      <c r="L66" s="1464"/>
      <c r="M66" s="1464"/>
      <c r="N66" s="1464"/>
      <c r="O66" s="1464"/>
      <c r="P66" s="1464"/>
      <c r="Q66" s="1464"/>
      <c r="R66" s="1464"/>
    </row>
    <row r="67" spans="1:23" ht="17.25" customHeight="1" x14ac:dyDescent="0.2">
      <c r="A67" s="1414" t="s">
        <v>292</v>
      </c>
      <c r="B67" s="1464"/>
      <c r="C67" s="1464"/>
      <c r="D67" s="1464"/>
      <c r="E67" s="1464"/>
      <c r="F67" s="1464"/>
      <c r="G67" s="1464"/>
      <c r="H67" s="1464"/>
      <c r="I67" s="1464"/>
      <c r="J67" s="1464"/>
      <c r="K67" s="1464"/>
      <c r="L67" s="1464"/>
      <c r="M67" s="1464"/>
      <c r="N67" s="1464"/>
      <c r="O67" s="1464"/>
      <c r="P67" s="1464"/>
      <c r="Q67" s="1464"/>
      <c r="R67" s="1464"/>
    </row>
    <row r="68" spans="1:23" ht="17.25" customHeight="1" x14ac:dyDescent="0.2">
      <c r="B68" s="139"/>
      <c r="C68" s="140"/>
      <c r="D68" s="140"/>
      <c r="E68" s="140"/>
      <c r="F68" s="140"/>
      <c r="G68" s="140"/>
      <c r="H68" s="140"/>
      <c r="I68" s="140"/>
      <c r="J68" s="140"/>
      <c r="K68" s="140"/>
    </row>
    <row r="69" spans="1:23" ht="12.75" customHeight="1" thickBot="1" x14ac:dyDescent="0.25">
      <c r="A69" s="1577" t="s">
        <v>303</v>
      </c>
      <c r="B69" s="1578"/>
      <c r="C69" s="1578"/>
      <c r="D69" s="1578"/>
      <c r="E69" s="1578"/>
      <c r="F69" s="1578"/>
      <c r="G69" s="1578"/>
      <c r="H69" s="1578"/>
      <c r="I69" s="1578"/>
      <c r="J69" s="1578"/>
      <c r="K69" s="1578"/>
      <c r="L69" s="1514"/>
      <c r="M69" s="1514"/>
      <c r="N69" s="1514"/>
      <c r="O69" s="1514"/>
      <c r="P69" s="1514"/>
      <c r="Q69" s="1514"/>
      <c r="R69" s="1514"/>
    </row>
    <row r="70" spans="1:23" s="90" customFormat="1" ht="11.25" customHeight="1" x14ac:dyDescent="0.2">
      <c r="A70" s="1587" t="s">
        <v>470</v>
      </c>
      <c r="B70" s="1581" t="s">
        <v>85</v>
      </c>
      <c r="C70" s="1571" t="s">
        <v>57</v>
      </c>
      <c r="D70" s="1576"/>
      <c r="E70" s="1576" t="s">
        <v>58</v>
      </c>
      <c r="F70" s="1576"/>
      <c r="G70" s="1576" t="s">
        <v>59</v>
      </c>
      <c r="H70" s="1576"/>
      <c r="I70" s="1570"/>
      <c r="J70" s="1571"/>
      <c r="K70" s="215" t="s">
        <v>60</v>
      </c>
      <c r="L70" s="1569" t="s">
        <v>471</v>
      </c>
      <c r="M70" s="1560"/>
      <c r="N70" s="1560" t="s">
        <v>472</v>
      </c>
      <c r="O70" s="1560"/>
      <c r="P70" s="1560" t="s">
        <v>473</v>
      </c>
      <c r="Q70" s="1560"/>
      <c r="R70" s="211" t="s">
        <v>595</v>
      </c>
      <c r="S70" s="395"/>
    </row>
    <row r="71" spans="1:23" ht="31.5" customHeight="1" x14ac:dyDescent="0.2">
      <c r="A71" s="1588"/>
      <c r="B71" s="1582"/>
      <c r="C71" s="1572" t="s">
        <v>553</v>
      </c>
      <c r="D71" s="1565"/>
      <c r="E71" s="1565"/>
      <c r="F71" s="1565"/>
      <c r="G71" s="1565"/>
      <c r="H71" s="1565"/>
      <c r="I71" s="1565"/>
      <c r="J71" s="1565"/>
      <c r="K71" s="1575"/>
      <c r="L71" s="1572" t="s">
        <v>515</v>
      </c>
      <c r="M71" s="1573"/>
      <c r="N71" s="1573"/>
      <c r="O71" s="1573"/>
      <c r="P71" s="1573"/>
      <c r="Q71" s="1573"/>
      <c r="R71" s="1574"/>
    </row>
    <row r="72" spans="1:23" ht="36" customHeight="1" thickBot="1" x14ac:dyDescent="0.25">
      <c r="A72" s="1588"/>
      <c r="B72" s="1582"/>
      <c r="C72" s="1584" t="s">
        <v>453</v>
      </c>
      <c r="D72" s="1552"/>
      <c r="E72" s="1552" t="s">
        <v>454</v>
      </c>
      <c r="F72" s="1552"/>
      <c r="G72" s="1552" t="s">
        <v>22</v>
      </c>
      <c r="H72" s="1552"/>
      <c r="I72" s="1553"/>
      <c r="J72" s="1554"/>
      <c r="K72" s="1590" t="s">
        <v>530</v>
      </c>
      <c r="L72" s="1584" t="s">
        <v>453</v>
      </c>
      <c r="M72" s="1552"/>
      <c r="N72" s="1552" t="s">
        <v>454</v>
      </c>
      <c r="O72" s="1552"/>
      <c r="P72" s="1552" t="s">
        <v>22</v>
      </c>
      <c r="Q72" s="1552"/>
      <c r="R72" s="1585" t="s">
        <v>530</v>
      </c>
    </row>
    <row r="73" spans="1:23" ht="35.25" customHeight="1" thickBot="1" x14ac:dyDescent="0.25">
      <c r="A73" s="1588"/>
      <c r="B73" s="1582"/>
      <c r="C73" s="1584"/>
      <c r="D73" s="1552"/>
      <c r="E73" s="1552"/>
      <c r="F73" s="1552"/>
      <c r="G73" s="1552"/>
      <c r="H73" s="1552"/>
      <c r="I73" s="1555"/>
      <c r="J73" s="1556"/>
      <c r="K73" s="1590"/>
      <c r="L73" s="1584"/>
      <c r="M73" s="1552"/>
      <c r="N73" s="1552"/>
      <c r="O73" s="1552"/>
      <c r="P73" s="1552"/>
      <c r="Q73" s="1552"/>
      <c r="R73" s="1585"/>
    </row>
    <row r="74" spans="1:23" ht="32.25" customHeight="1" thickBot="1" x14ac:dyDescent="0.25">
      <c r="A74" s="1589"/>
      <c r="B74" s="1583"/>
      <c r="C74" s="349" t="s">
        <v>62</v>
      </c>
      <c r="D74" s="217" t="s">
        <v>63</v>
      </c>
      <c r="E74" s="216" t="s">
        <v>62</v>
      </c>
      <c r="F74" s="216" t="s">
        <v>63</v>
      </c>
      <c r="G74" s="216" t="s">
        <v>62</v>
      </c>
      <c r="H74" s="216" t="s">
        <v>63</v>
      </c>
      <c r="I74" s="216" t="s">
        <v>62</v>
      </c>
      <c r="J74" s="216" t="s">
        <v>63</v>
      </c>
      <c r="K74" s="1591"/>
      <c r="L74" s="219" t="s">
        <v>62</v>
      </c>
      <c r="M74" s="220" t="s">
        <v>63</v>
      </c>
      <c r="N74" s="214" t="s">
        <v>62</v>
      </c>
      <c r="O74" s="214" t="s">
        <v>63</v>
      </c>
      <c r="P74" s="214" t="s">
        <v>62</v>
      </c>
      <c r="Q74" s="214" t="s">
        <v>63</v>
      </c>
      <c r="R74" s="1586"/>
    </row>
    <row r="75" spans="1:23" ht="17.25" customHeight="1" x14ac:dyDescent="0.2">
      <c r="A75" s="154">
        <v>1</v>
      </c>
      <c r="B75" s="391" t="s">
        <v>556</v>
      </c>
      <c r="C75" s="163">
        <v>10</v>
      </c>
      <c r="D75" s="163">
        <v>0</v>
      </c>
      <c r="E75" s="163"/>
      <c r="F75" s="163"/>
      <c r="G75" s="163"/>
      <c r="H75" s="163"/>
      <c r="I75" s="163"/>
      <c r="J75" s="163"/>
      <c r="K75" s="348">
        <f>SUM(C75:H75)</f>
        <v>10</v>
      </c>
      <c r="L75" s="221">
        <v>20</v>
      </c>
      <c r="M75" s="221">
        <v>188</v>
      </c>
      <c r="N75" s="221"/>
      <c r="O75" s="221"/>
      <c r="P75" s="221"/>
      <c r="Q75" s="221"/>
      <c r="R75" s="222">
        <f>SUM(L75:Q75)</f>
        <v>208</v>
      </c>
    </row>
    <row r="76" spans="1:23" ht="17.25" customHeight="1" x14ac:dyDescent="0.2">
      <c r="A76" s="154">
        <v>2</v>
      </c>
      <c r="B76" s="392" t="s">
        <v>555</v>
      </c>
      <c r="C76" s="163"/>
      <c r="D76" s="163">
        <v>284</v>
      </c>
      <c r="E76" s="163"/>
      <c r="F76" s="163"/>
      <c r="G76" s="163"/>
      <c r="H76" s="163"/>
      <c r="I76" s="163"/>
      <c r="J76" s="163"/>
      <c r="K76" s="369">
        <f>SUM(C76:H76)</f>
        <v>284</v>
      </c>
      <c r="L76" s="163"/>
      <c r="M76" s="163"/>
      <c r="N76" s="163"/>
      <c r="O76" s="163"/>
      <c r="P76" s="163"/>
      <c r="Q76" s="163"/>
      <c r="R76" s="363"/>
    </row>
    <row r="77" spans="1:23" ht="17.25" customHeight="1" x14ac:dyDescent="0.2">
      <c r="A77" s="154">
        <v>3</v>
      </c>
      <c r="B77" s="392" t="s">
        <v>554</v>
      </c>
      <c r="C77" s="163">
        <v>3</v>
      </c>
      <c r="D77" s="163">
        <v>78</v>
      </c>
      <c r="E77" s="163"/>
      <c r="F77" s="163"/>
      <c r="G77" s="163"/>
      <c r="H77" s="163"/>
      <c r="I77" s="163"/>
      <c r="J77" s="163"/>
      <c r="K77" s="369">
        <f>SUM(C77:H77)</f>
        <v>81</v>
      </c>
      <c r="L77" s="163"/>
      <c r="M77" s="163"/>
      <c r="N77" s="163"/>
      <c r="O77" s="163"/>
      <c r="P77" s="163"/>
      <c r="Q77" s="163"/>
      <c r="R77" s="363"/>
    </row>
    <row r="78" spans="1:23" ht="17.25" customHeight="1" x14ac:dyDescent="0.2">
      <c r="A78" s="144">
        <v>4</v>
      </c>
      <c r="B78" s="392" t="s">
        <v>557</v>
      </c>
      <c r="C78" s="390">
        <v>2</v>
      </c>
      <c r="D78" s="218"/>
      <c r="E78" s="218"/>
      <c r="F78" s="218"/>
      <c r="G78" s="218"/>
      <c r="H78" s="218"/>
      <c r="I78" s="218"/>
      <c r="J78" s="218"/>
      <c r="K78" s="369">
        <f>SUM(C78:H78)</f>
        <v>2</v>
      </c>
      <c r="L78" s="223"/>
      <c r="M78" s="223"/>
      <c r="N78" s="223"/>
      <c r="O78" s="223"/>
      <c r="P78" s="223"/>
      <c r="Q78" s="223"/>
      <c r="R78" s="224"/>
    </row>
    <row r="79" spans="1:23" ht="17.25" customHeight="1" thickBot="1" x14ac:dyDescent="0.25">
      <c r="A79" s="370">
        <v>5</v>
      </c>
      <c r="B79" s="393" t="s">
        <v>558</v>
      </c>
      <c r="C79" s="390"/>
      <c r="D79" s="218">
        <v>40</v>
      </c>
      <c r="E79" s="218"/>
      <c r="F79" s="218"/>
      <c r="G79" s="218"/>
      <c r="H79" s="218"/>
      <c r="I79" s="218"/>
      <c r="J79" s="218"/>
      <c r="K79" s="394">
        <f>SUM(C79:J79)</f>
        <v>40</v>
      </c>
      <c r="L79" s="223"/>
      <c r="M79" s="223"/>
      <c r="N79" s="223"/>
      <c r="O79" s="223"/>
      <c r="P79" s="223"/>
      <c r="Q79" s="223"/>
      <c r="R79" s="224"/>
    </row>
    <row r="80" spans="1:23" ht="17.25" customHeight="1" thickBot="1" x14ac:dyDescent="0.25">
      <c r="A80" s="357" t="s">
        <v>266</v>
      </c>
      <c r="B80" s="364"/>
      <c r="C80" s="365">
        <f>SUM(C74:C78)</f>
        <v>15</v>
      </c>
      <c r="D80" s="365">
        <f>SUM(D74:D79)</f>
        <v>402</v>
      </c>
      <c r="E80" s="366">
        <f>SUM(E74)</f>
        <v>0</v>
      </c>
      <c r="F80" s="366">
        <f>SUM(F74)</f>
        <v>0</v>
      </c>
      <c r="G80" s="366">
        <f>SUM(G74)</f>
        <v>0</v>
      </c>
      <c r="H80" s="366">
        <f>SUM(H74:H78)</f>
        <v>0</v>
      </c>
      <c r="I80" s="367"/>
      <c r="J80" s="367"/>
      <c r="K80" s="368">
        <f>SUM(K74:K79)</f>
        <v>417</v>
      </c>
      <c r="L80" s="347">
        <f>SUM(L75:L78)</f>
        <v>20</v>
      </c>
      <c r="M80" s="212">
        <f>SUM(M75:M78)</f>
        <v>188</v>
      </c>
      <c r="N80" s="212"/>
      <c r="O80" s="212"/>
      <c r="P80" s="212"/>
      <c r="Q80" s="212"/>
      <c r="R80" s="225">
        <f>SUM(L80:Q80)</f>
        <v>208</v>
      </c>
      <c r="S80" s="396"/>
    </row>
  </sheetData>
  <sheetProtection selectLockedCells="1" selectUnlockedCells="1"/>
  <mergeCells count="41"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T76"/>
  <sheetViews>
    <sheetView zoomScale="130" zoomScaleNormal="130" workbookViewId="0">
      <pane xSplit="3" ySplit="9" topLeftCell="S10" activePane="bottomRight" state="frozen"/>
      <selection pane="topRight" activeCell="D1" sqref="D1"/>
      <selection pane="bottomLeft" activeCell="A10" sqref="A10"/>
      <selection pane="bottomRight" activeCell="AT59" sqref="AT59"/>
    </sheetView>
  </sheetViews>
  <sheetFormatPr defaultColWidth="9.140625" defaultRowHeight="10.5" x14ac:dyDescent="0.2"/>
  <cols>
    <col min="1" max="1" width="4.140625" style="75" customWidth="1"/>
    <col min="2" max="2" width="4.85546875" style="237" customWidth="1"/>
    <col min="3" max="3" width="26.7109375" style="241" customWidth="1"/>
    <col min="4" max="6" width="5.85546875" style="242" customWidth="1"/>
    <col min="7" max="9" width="6.7109375" style="243" customWidth="1"/>
    <col min="10" max="12" width="5.85546875" style="243" customWidth="1"/>
    <col min="13" max="15" width="6.42578125" style="243" customWidth="1"/>
    <col min="16" max="18" width="5.28515625" style="243" customWidth="1"/>
    <col min="19" max="21" width="6.42578125" style="243" customWidth="1"/>
    <col min="22" max="24" width="5.7109375" style="243" customWidth="1"/>
    <col min="25" max="27" width="5.5703125" style="243" customWidth="1"/>
    <col min="28" max="30" width="6" style="243" customWidth="1"/>
    <col min="31" max="35" width="5.85546875" style="243" customWidth="1"/>
    <col min="36" max="38" width="4.7109375" style="243" customWidth="1"/>
    <col min="39" max="41" width="5" style="243" customWidth="1"/>
    <col min="42" max="42" width="6.5703125" style="243" bestFit="1" customWidth="1"/>
    <col min="43" max="43" width="12.85546875" style="236" customWidth="1"/>
    <col min="44" max="46" width="9.140625" style="236"/>
    <col min="47" max="16384" width="9.140625" style="75"/>
  </cols>
  <sheetData>
    <row r="1" spans="1:46" ht="12.75" x14ac:dyDescent="0.2">
      <c r="B1" s="1557" t="s">
        <v>1334</v>
      </c>
      <c r="C1" s="1592"/>
      <c r="D1" s="1592"/>
      <c r="E1" s="1592"/>
      <c r="F1" s="1592"/>
      <c r="G1" s="1592"/>
      <c r="H1" s="1592"/>
      <c r="I1" s="1592"/>
      <c r="J1" s="1592"/>
      <c r="K1" s="1592"/>
      <c r="L1" s="1592"/>
      <c r="M1" s="1592"/>
      <c r="N1" s="1592"/>
      <c r="O1" s="1592"/>
      <c r="P1" s="1592"/>
      <c r="Q1" s="1592"/>
      <c r="R1" s="1592"/>
      <c r="S1" s="1592"/>
      <c r="T1" s="1592"/>
      <c r="U1" s="1592"/>
      <c r="V1" s="1592"/>
      <c r="W1" s="1592"/>
      <c r="X1" s="1592"/>
      <c r="Y1" s="1592"/>
      <c r="Z1" s="1592"/>
      <c r="AA1" s="1592"/>
      <c r="AB1" s="1592"/>
      <c r="AC1" s="1592"/>
      <c r="AD1" s="1592"/>
      <c r="AE1" s="1592"/>
      <c r="AF1" s="1592"/>
      <c r="AG1" s="1592"/>
      <c r="AH1" s="1592"/>
      <c r="AI1" s="1592"/>
      <c r="AJ1" s="1592"/>
      <c r="AK1" s="1592"/>
      <c r="AL1" s="1592"/>
      <c r="AM1" s="1592"/>
      <c r="AN1" s="1592"/>
      <c r="AO1" s="1592"/>
      <c r="AP1" s="1592"/>
    </row>
    <row r="2" spans="1:46" ht="12.75" x14ac:dyDescent="0.2">
      <c r="B2" s="1593" t="s">
        <v>77</v>
      </c>
      <c r="C2" s="1594"/>
      <c r="D2" s="1594"/>
      <c r="E2" s="1594"/>
      <c r="F2" s="1594"/>
      <c r="G2" s="1594"/>
      <c r="H2" s="1594"/>
      <c r="I2" s="1594"/>
      <c r="J2" s="1594"/>
      <c r="K2" s="1594"/>
      <c r="L2" s="1594"/>
      <c r="M2" s="1594"/>
      <c r="N2" s="1594"/>
      <c r="O2" s="1594"/>
      <c r="P2" s="1594"/>
      <c r="Q2" s="1594"/>
      <c r="R2" s="1594"/>
      <c r="S2" s="1594"/>
      <c r="T2" s="1594"/>
      <c r="U2" s="1594"/>
      <c r="V2" s="1594"/>
      <c r="W2" s="1594"/>
      <c r="X2" s="1594"/>
      <c r="Y2" s="1594"/>
      <c r="Z2" s="1594"/>
      <c r="AA2" s="1594"/>
      <c r="AB2" s="1594"/>
      <c r="AC2" s="1594"/>
      <c r="AD2" s="1594"/>
      <c r="AE2" s="1594"/>
      <c r="AF2" s="1594"/>
      <c r="AG2" s="1594"/>
      <c r="AH2" s="1594"/>
      <c r="AI2" s="1594"/>
      <c r="AJ2" s="1594"/>
      <c r="AK2" s="1594"/>
      <c r="AL2" s="1594"/>
      <c r="AM2" s="1594"/>
      <c r="AN2" s="1594"/>
      <c r="AO2" s="1594"/>
      <c r="AP2" s="1594"/>
    </row>
    <row r="3" spans="1:46" ht="12.75" x14ac:dyDescent="0.2">
      <c r="A3" s="76"/>
      <c r="B3" s="1414" t="s">
        <v>1172</v>
      </c>
      <c r="C3" s="1592"/>
      <c r="D3" s="1592"/>
      <c r="E3" s="1592"/>
      <c r="F3" s="1592"/>
      <c r="G3" s="1592"/>
      <c r="H3" s="1592"/>
      <c r="I3" s="1592"/>
      <c r="J3" s="1592"/>
      <c r="K3" s="1592"/>
      <c r="L3" s="1592"/>
      <c r="M3" s="1592"/>
      <c r="N3" s="1592"/>
      <c r="O3" s="1592"/>
      <c r="P3" s="1592"/>
      <c r="Q3" s="1592"/>
      <c r="R3" s="1592"/>
      <c r="S3" s="1592"/>
      <c r="T3" s="1592"/>
      <c r="U3" s="1592"/>
      <c r="V3" s="1592"/>
      <c r="W3" s="1592"/>
      <c r="X3" s="1592"/>
      <c r="Y3" s="1592"/>
      <c r="Z3" s="1592"/>
      <c r="AA3" s="1592"/>
      <c r="AB3" s="1592"/>
      <c r="AC3" s="1592"/>
      <c r="AD3" s="1592"/>
      <c r="AE3" s="1592"/>
      <c r="AF3" s="1592"/>
      <c r="AG3" s="1592"/>
      <c r="AH3" s="1592"/>
      <c r="AI3" s="1592"/>
      <c r="AJ3" s="1592"/>
      <c r="AK3" s="1592"/>
      <c r="AL3" s="1592"/>
      <c r="AM3" s="1592"/>
      <c r="AN3" s="1592"/>
      <c r="AO3" s="1592"/>
      <c r="AP3" s="1592"/>
    </row>
    <row r="4" spans="1:46" x14ac:dyDescent="0.2">
      <c r="A4" s="76"/>
      <c r="C4" s="1606" t="s">
        <v>303</v>
      </c>
      <c r="D4" s="1607"/>
      <c r="E4" s="1607"/>
      <c r="F4" s="1607"/>
      <c r="G4" s="1607"/>
      <c r="H4" s="1607"/>
      <c r="I4" s="1607"/>
      <c r="J4" s="1607"/>
      <c r="K4" s="1607"/>
      <c r="L4" s="1607"/>
      <c r="M4" s="1607"/>
      <c r="N4" s="1607"/>
      <c r="O4" s="1607"/>
      <c r="P4" s="1607"/>
      <c r="Q4" s="1607"/>
      <c r="R4" s="1607"/>
      <c r="S4" s="1607"/>
      <c r="T4" s="1607"/>
      <c r="U4" s="1607"/>
      <c r="V4" s="1607"/>
      <c r="W4" s="1607"/>
      <c r="X4" s="1607"/>
      <c r="Y4" s="1607"/>
      <c r="Z4" s="1607"/>
      <c r="AA4" s="1607"/>
      <c r="AB4" s="1607"/>
      <c r="AC4" s="1607"/>
      <c r="AD4" s="1607"/>
      <c r="AE4" s="1607"/>
      <c r="AF4" s="1607"/>
      <c r="AG4" s="1607"/>
      <c r="AH4" s="1607"/>
      <c r="AI4" s="1607"/>
      <c r="AJ4" s="1607"/>
      <c r="AK4" s="1607"/>
      <c r="AL4" s="1607"/>
      <c r="AM4" s="1607"/>
      <c r="AN4" s="1607"/>
      <c r="AO4" s="1607"/>
      <c r="AP4" s="1607"/>
    </row>
    <row r="5" spans="1:46" x14ac:dyDescent="0.2">
      <c r="A5" s="571"/>
      <c r="B5" s="1595" t="s">
        <v>470</v>
      </c>
      <c r="C5" s="1266" t="s">
        <v>57</v>
      </c>
      <c r="D5" s="1597" t="s">
        <v>58</v>
      </c>
      <c r="E5" s="1597"/>
      <c r="F5" s="1597"/>
      <c r="G5" s="1598"/>
      <c r="H5" s="1268"/>
      <c r="I5" s="1288"/>
      <c r="J5" s="1618" t="s">
        <v>59</v>
      </c>
      <c r="K5" s="1597"/>
      <c r="L5" s="1597"/>
      <c r="M5" s="1598"/>
      <c r="N5" s="1268"/>
      <c r="O5" s="1291"/>
      <c r="P5" s="1603" t="s">
        <v>594</v>
      </c>
      <c r="Q5" s="1597"/>
      <c r="R5" s="1597"/>
      <c r="S5" s="1598"/>
      <c r="T5" s="1268"/>
      <c r="U5" s="1291"/>
      <c r="V5" s="1603" t="s">
        <v>471</v>
      </c>
      <c r="W5" s="1597"/>
      <c r="X5" s="1597"/>
      <c r="Y5" s="1598"/>
      <c r="Z5" s="1268"/>
      <c r="AA5" s="1288"/>
      <c r="AB5" s="1608" t="s">
        <v>472</v>
      </c>
      <c r="AC5" s="1609"/>
      <c r="AD5" s="1609"/>
      <c r="AE5" s="1598"/>
      <c r="AF5" s="1268"/>
      <c r="AG5" s="1288"/>
      <c r="AH5" s="1608" t="s">
        <v>473</v>
      </c>
      <c r="AI5" s="1617"/>
      <c r="AJ5" s="1629" t="s">
        <v>595</v>
      </c>
      <c r="AK5" s="1629"/>
      <c r="AL5" s="1629"/>
      <c r="AM5" s="1629"/>
      <c r="AN5" s="1629"/>
      <c r="AO5" s="1630"/>
      <c r="AP5" s="1628" t="s">
        <v>603</v>
      </c>
      <c r="AQ5" s="1609"/>
      <c r="AR5" s="1609"/>
    </row>
    <row r="6" spans="1:46" ht="12.75" customHeight="1" x14ac:dyDescent="0.2">
      <c r="A6" s="571"/>
      <c r="B6" s="1596"/>
      <c r="C6" s="1267"/>
      <c r="D6" s="1631" t="s">
        <v>1162</v>
      </c>
      <c r="E6" s="1629"/>
      <c r="F6" s="1629"/>
      <c r="G6" s="1629"/>
      <c r="H6" s="1629"/>
      <c r="I6" s="1629"/>
      <c r="J6" s="1629"/>
      <c r="K6" s="1629"/>
      <c r="L6" s="1629"/>
      <c r="M6" s="1629"/>
      <c r="N6" s="1629"/>
      <c r="O6" s="1629"/>
      <c r="P6" s="1629"/>
      <c r="Q6" s="1629"/>
      <c r="R6" s="1629"/>
      <c r="S6" s="1629"/>
      <c r="T6" s="1629"/>
      <c r="U6" s="1629"/>
      <c r="V6" s="1629"/>
      <c r="W6" s="1629"/>
      <c r="X6" s="1629"/>
      <c r="Y6" s="1629"/>
      <c r="Z6" s="1629"/>
      <c r="AA6" s="1629"/>
      <c r="AB6" s="1629"/>
      <c r="AC6" s="1629"/>
      <c r="AD6" s="1629"/>
      <c r="AE6" s="1629"/>
      <c r="AF6" s="1629"/>
      <c r="AG6" s="1629"/>
      <c r="AH6" s="1629"/>
      <c r="AI6" s="1629"/>
      <c r="AJ6" s="1629"/>
      <c r="AK6" s="1629"/>
      <c r="AL6" s="1629"/>
      <c r="AM6" s="1629"/>
      <c r="AN6" s="1629"/>
      <c r="AO6" s="1629"/>
      <c r="AP6" s="1629"/>
      <c r="AQ6" s="1629"/>
      <c r="AR6" s="1628"/>
    </row>
    <row r="7" spans="1:46" ht="24.95" customHeight="1" x14ac:dyDescent="0.2">
      <c r="A7" s="571"/>
      <c r="B7" s="1596"/>
      <c r="C7" s="1610" t="s">
        <v>85</v>
      </c>
      <c r="D7" s="1619" t="s">
        <v>452</v>
      </c>
      <c r="E7" s="1612"/>
      <c r="F7" s="1612"/>
      <c r="G7" s="1612"/>
      <c r="H7" s="1612"/>
      <c r="I7" s="1613"/>
      <c r="J7" s="1612" t="s">
        <v>21</v>
      </c>
      <c r="K7" s="1612"/>
      <c r="L7" s="1612"/>
      <c r="M7" s="1612"/>
      <c r="N7" s="1612"/>
      <c r="O7" s="1613"/>
      <c r="P7" s="1612" t="s">
        <v>450</v>
      </c>
      <c r="Q7" s="1612"/>
      <c r="R7" s="1612"/>
      <c r="S7" s="1612"/>
      <c r="T7" s="1612"/>
      <c r="U7" s="1613"/>
      <c r="V7" s="1621" t="s">
        <v>460</v>
      </c>
      <c r="W7" s="1622"/>
      <c r="X7" s="1622"/>
      <c r="Y7" s="1622"/>
      <c r="Z7" s="1622"/>
      <c r="AA7" s="1623"/>
      <c r="AB7" s="1612" t="s">
        <v>459</v>
      </c>
      <c r="AC7" s="1612"/>
      <c r="AD7" s="1612"/>
      <c r="AE7" s="1612"/>
      <c r="AF7" s="1612"/>
      <c r="AG7" s="1613"/>
      <c r="AH7" s="1599" t="s">
        <v>267</v>
      </c>
      <c r="AI7" s="1600"/>
      <c r="AJ7" s="1612" t="s">
        <v>451</v>
      </c>
      <c r="AK7" s="1612"/>
      <c r="AL7" s="1612"/>
      <c r="AM7" s="1612"/>
      <c r="AN7" s="1612"/>
      <c r="AO7" s="1613"/>
      <c r="AP7" s="1604" t="s">
        <v>530</v>
      </c>
      <c r="AQ7" s="1625" t="s">
        <v>1341</v>
      </c>
      <c r="AR7" s="1625" t="s">
        <v>1340</v>
      </c>
    </row>
    <row r="8" spans="1:46" ht="26.25" customHeight="1" x14ac:dyDescent="0.2">
      <c r="A8" s="571"/>
      <c r="B8" s="1596"/>
      <c r="C8" s="1611"/>
      <c r="D8" s="1620"/>
      <c r="E8" s="1614"/>
      <c r="F8" s="1614"/>
      <c r="G8" s="1614"/>
      <c r="H8" s="1614"/>
      <c r="I8" s="1615"/>
      <c r="J8" s="1614"/>
      <c r="K8" s="1614"/>
      <c r="L8" s="1614"/>
      <c r="M8" s="1614"/>
      <c r="N8" s="1614"/>
      <c r="O8" s="1615"/>
      <c r="P8" s="1614"/>
      <c r="Q8" s="1614"/>
      <c r="R8" s="1614"/>
      <c r="S8" s="1614"/>
      <c r="T8" s="1614"/>
      <c r="U8" s="1615"/>
      <c r="V8" s="1624"/>
      <c r="W8" s="1614"/>
      <c r="X8" s="1614"/>
      <c r="Y8" s="1614"/>
      <c r="Z8" s="1614"/>
      <c r="AA8" s="1615"/>
      <c r="AB8" s="1614"/>
      <c r="AC8" s="1614"/>
      <c r="AD8" s="1614"/>
      <c r="AE8" s="1614"/>
      <c r="AF8" s="1614"/>
      <c r="AG8" s="1615"/>
      <c r="AH8" s="1601"/>
      <c r="AI8" s="1602"/>
      <c r="AJ8" s="1614"/>
      <c r="AK8" s="1614"/>
      <c r="AL8" s="1614"/>
      <c r="AM8" s="1614"/>
      <c r="AN8" s="1614"/>
      <c r="AO8" s="1615"/>
      <c r="AP8" s="1604"/>
      <c r="AQ8" s="1626"/>
      <c r="AR8" s="1626"/>
    </row>
    <row r="9" spans="1:46" s="180" customFormat="1" ht="40.9" customHeight="1" x14ac:dyDescent="0.15">
      <c r="A9" s="572"/>
      <c r="B9" s="1596"/>
      <c r="C9" s="1605"/>
      <c r="D9" s="1247" t="s">
        <v>62</v>
      </c>
      <c r="E9" s="1248" t="s">
        <v>1341</v>
      </c>
      <c r="F9" s="1293" t="s">
        <v>1342</v>
      </c>
      <c r="G9" s="1292" t="s">
        <v>63</v>
      </c>
      <c r="H9" s="1248" t="s">
        <v>1341</v>
      </c>
      <c r="I9" s="1270" t="s">
        <v>1343</v>
      </c>
      <c r="J9" s="1247" t="s">
        <v>62</v>
      </c>
      <c r="K9" s="1248" t="s">
        <v>1341</v>
      </c>
      <c r="L9" s="1293" t="s">
        <v>1342</v>
      </c>
      <c r="M9" s="1292" t="s">
        <v>63</v>
      </c>
      <c r="N9" s="1248" t="s">
        <v>1341</v>
      </c>
      <c r="O9" s="1270" t="s">
        <v>1343</v>
      </c>
      <c r="P9" s="1247" t="s">
        <v>62</v>
      </c>
      <c r="Q9" s="1248" t="s">
        <v>1341</v>
      </c>
      <c r="R9" s="1293" t="s">
        <v>1342</v>
      </c>
      <c r="S9" s="1292" t="s">
        <v>63</v>
      </c>
      <c r="T9" s="1248" t="s">
        <v>1341</v>
      </c>
      <c r="U9" s="1270" t="s">
        <v>1343</v>
      </c>
      <c r="V9" s="1247" t="s">
        <v>62</v>
      </c>
      <c r="W9" s="1248" t="s">
        <v>1341</v>
      </c>
      <c r="X9" s="1293" t="s">
        <v>1342</v>
      </c>
      <c r="Y9" s="1247" t="s">
        <v>63</v>
      </c>
      <c r="Z9" s="1248" t="s">
        <v>1341</v>
      </c>
      <c r="AA9" s="1270" t="s">
        <v>1343</v>
      </c>
      <c r="AB9" s="1247" t="s">
        <v>62</v>
      </c>
      <c r="AC9" s="1248" t="s">
        <v>1341</v>
      </c>
      <c r="AD9" s="1293" t="s">
        <v>1342</v>
      </c>
      <c r="AE9" s="1292" t="s">
        <v>63</v>
      </c>
      <c r="AF9" s="1248" t="s">
        <v>1341</v>
      </c>
      <c r="AG9" s="1270" t="s">
        <v>1343</v>
      </c>
      <c r="AH9" s="1247" t="s">
        <v>62</v>
      </c>
      <c r="AI9" s="1287" t="s">
        <v>63</v>
      </c>
      <c r="AJ9" s="1247" t="s">
        <v>62</v>
      </c>
      <c r="AK9" s="1248" t="s">
        <v>1341</v>
      </c>
      <c r="AL9" s="1293" t="s">
        <v>1342</v>
      </c>
      <c r="AM9" s="1247" t="s">
        <v>63</v>
      </c>
      <c r="AN9" s="1248" t="s">
        <v>1341</v>
      </c>
      <c r="AO9" s="1270" t="s">
        <v>1343</v>
      </c>
      <c r="AP9" s="1605"/>
      <c r="AQ9" s="1627"/>
      <c r="AR9" s="1627"/>
      <c r="AS9" s="238"/>
      <c r="AT9" s="238"/>
    </row>
    <row r="10" spans="1:46" s="180" customFormat="1" ht="15" customHeight="1" x14ac:dyDescent="0.2">
      <c r="A10" s="1244"/>
      <c r="B10" s="1249" t="s">
        <v>480</v>
      </c>
      <c r="C10" s="1250" t="s">
        <v>984</v>
      </c>
      <c r="D10" s="1251">
        <v>0</v>
      </c>
      <c r="E10" s="1251"/>
      <c r="F10" s="1294"/>
      <c r="G10" s="1281"/>
      <c r="H10" s="1251"/>
      <c r="I10" s="1271"/>
      <c r="J10" s="1281">
        <v>0</v>
      </c>
      <c r="K10" s="1251"/>
      <c r="L10" s="1294"/>
      <c r="M10" s="1281"/>
      <c r="N10" s="1251"/>
      <c r="O10" s="1271"/>
      <c r="P10" s="1282">
        <v>36</v>
      </c>
      <c r="Q10" s="1252"/>
      <c r="R10" s="1295"/>
      <c r="S10" s="1281"/>
      <c r="T10" s="1251"/>
      <c r="U10" s="1271"/>
      <c r="V10" s="1282"/>
      <c r="W10" s="1252"/>
      <c r="X10" s="1295"/>
      <c r="Y10" s="1281"/>
      <c r="Z10" s="1251"/>
      <c r="AA10" s="1271"/>
      <c r="AB10" s="1281"/>
      <c r="AC10" s="1251"/>
      <c r="AD10" s="1294"/>
      <c r="AE10" s="1281"/>
      <c r="AF10" s="1251"/>
      <c r="AG10" s="1271"/>
      <c r="AH10" s="1281"/>
      <c r="AI10" s="1271"/>
      <c r="AJ10" s="1281"/>
      <c r="AK10" s="1251"/>
      <c r="AL10" s="1294"/>
      <c r="AM10" s="1281"/>
      <c r="AN10" s="1251"/>
      <c r="AO10" s="1271"/>
      <c r="AP10" s="1269">
        <f>SUM(D10:AM10)</f>
        <v>36</v>
      </c>
      <c r="AQ10" s="1253"/>
      <c r="AR10" s="1254"/>
      <c r="AS10" s="238"/>
      <c r="AT10" s="238"/>
    </row>
    <row r="11" spans="1:46" s="180" customFormat="1" ht="23.25" customHeight="1" x14ac:dyDescent="0.2">
      <c r="A11" s="1244"/>
      <c r="B11" s="1249" t="s">
        <v>488</v>
      </c>
      <c r="C11" s="1250" t="s">
        <v>983</v>
      </c>
      <c r="D11" s="1252">
        <v>4098</v>
      </c>
      <c r="E11" s="1252"/>
      <c r="F11" s="1295"/>
      <c r="G11" s="1282"/>
      <c r="H11" s="1252"/>
      <c r="I11" s="1272"/>
      <c r="J11" s="1282">
        <v>902</v>
      </c>
      <c r="K11" s="1252"/>
      <c r="L11" s="1295"/>
      <c r="M11" s="1281"/>
      <c r="N11" s="1251"/>
      <c r="O11" s="1271"/>
      <c r="P11" s="1282">
        <v>15640</v>
      </c>
      <c r="Q11" s="1252"/>
      <c r="R11" s="1295"/>
      <c r="S11" s="1281"/>
      <c r="T11" s="1251"/>
      <c r="U11" s="1271"/>
      <c r="V11" s="1281"/>
      <c r="W11" s="1251"/>
      <c r="X11" s="1294"/>
      <c r="Y11" s="1281"/>
      <c r="Z11" s="1251"/>
      <c r="AA11" s="1271"/>
      <c r="AB11" s="1281"/>
      <c r="AC11" s="1251"/>
      <c r="AD11" s="1294"/>
      <c r="AE11" s="1281"/>
      <c r="AF11" s="1251"/>
      <c r="AG11" s="1271"/>
      <c r="AH11" s="1281"/>
      <c r="AI11" s="1271"/>
      <c r="AJ11" s="1281"/>
      <c r="AK11" s="1251"/>
      <c r="AL11" s="1294"/>
      <c r="AM11" s="1281"/>
      <c r="AN11" s="1251"/>
      <c r="AO11" s="1271"/>
      <c r="AP11" s="1269">
        <f>SUM(D11:AM11)</f>
        <v>20640</v>
      </c>
      <c r="AQ11" s="1253"/>
      <c r="AR11" s="1254"/>
      <c r="AS11" s="238"/>
      <c r="AT11" s="238"/>
    </row>
    <row r="12" spans="1:46" s="180" customFormat="1" ht="20.25" customHeight="1" x14ac:dyDescent="0.2">
      <c r="A12" s="1244"/>
      <c r="B12" s="1249" t="s">
        <v>489</v>
      </c>
      <c r="C12" s="1250" t="s">
        <v>1257</v>
      </c>
      <c r="D12" s="1252"/>
      <c r="E12" s="1252"/>
      <c r="F12" s="1295"/>
      <c r="G12" s="1282"/>
      <c r="H12" s="1252"/>
      <c r="I12" s="1272"/>
      <c r="J12" s="1282"/>
      <c r="K12" s="1252"/>
      <c r="L12" s="1295"/>
      <c r="M12" s="1281"/>
      <c r="N12" s="1251"/>
      <c r="O12" s="1271"/>
      <c r="P12" s="1282">
        <v>17053</v>
      </c>
      <c r="Q12" s="1252"/>
      <c r="R12" s="1295"/>
      <c r="S12" s="1281"/>
      <c r="T12" s="1251"/>
      <c r="U12" s="1271"/>
      <c r="V12" s="1281"/>
      <c r="W12" s="1251"/>
      <c r="X12" s="1294"/>
      <c r="Y12" s="1281"/>
      <c r="Z12" s="1251"/>
      <c r="AA12" s="1271"/>
      <c r="AB12" s="1281"/>
      <c r="AC12" s="1251"/>
      <c r="AD12" s="1294"/>
      <c r="AE12" s="1281"/>
      <c r="AF12" s="1251"/>
      <c r="AG12" s="1271"/>
      <c r="AH12" s="1281"/>
      <c r="AI12" s="1271"/>
      <c r="AJ12" s="1281"/>
      <c r="AK12" s="1251"/>
      <c r="AL12" s="1294"/>
      <c r="AM12" s="1281"/>
      <c r="AN12" s="1251"/>
      <c r="AO12" s="1271"/>
      <c r="AP12" s="1269">
        <f>SUM(D12:AM12)</f>
        <v>17053</v>
      </c>
      <c r="AQ12" s="1253"/>
      <c r="AR12" s="1254"/>
      <c r="AS12" s="238"/>
      <c r="AT12" s="238"/>
    </row>
    <row r="13" spans="1:46" s="235" customFormat="1" ht="13.5" customHeight="1" x14ac:dyDescent="0.2">
      <c r="A13" s="1245"/>
      <c r="B13" s="1249" t="s">
        <v>490</v>
      </c>
      <c r="C13" s="1255" t="s">
        <v>1001</v>
      </c>
      <c r="D13" s="1256"/>
      <c r="E13" s="1256"/>
      <c r="F13" s="1296"/>
      <c r="G13" s="1281"/>
      <c r="H13" s="1251"/>
      <c r="I13" s="1271"/>
      <c r="J13" s="1281"/>
      <c r="K13" s="1251"/>
      <c r="L13" s="1294"/>
      <c r="M13" s="1281"/>
      <c r="N13" s="1251"/>
      <c r="O13" s="1271"/>
      <c r="P13" s="1289"/>
      <c r="Q13" s="1257"/>
      <c r="R13" s="1301"/>
      <c r="S13" s="1286">
        <v>5000</v>
      </c>
      <c r="T13" s="765"/>
      <c r="U13" s="1274"/>
      <c r="V13" s="1289"/>
      <c r="W13" s="1257"/>
      <c r="X13" s="1301"/>
      <c r="Y13" s="1281"/>
      <c r="Z13" s="1251"/>
      <c r="AA13" s="1271"/>
      <c r="AB13" s="1281"/>
      <c r="AC13" s="1251"/>
      <c r="AD13" s="1294"/>
      <c r="AE13" s="1281"/>
      <c r="AF13" s="1251"/>
      <c r="AG13" s="1271"/>
      <c r="AH13" s="1281"/>
      <c r="AI13" s="1271"/>
      <c r="AJ13" s="1281"/>
      <c r="AK13" s="1251"/>
      <c r="AL13" s="1294"/>
      <c r="AM13" s="1281"/>
      <c r="AN13" s="1251"/>
      <c r="AO13" s="1271"/>
      <c r="AP13" s="1269">
        <f t="shared" ref="AP13:AP63" si="0">SUM(D13:AM13)</f>
        <v>5000</v>
      </c>
      <c r="AQ13" s="747"/>
      <c r="AR13" s="1258"/>
      <c r="AS13" s="236"/>
      <c r="AT13" s="236"/>
    </row>
    <row r="14" spans="1:46" s="235" customFormat="1" ht="17.25" customHeight="1" x14ac:dyDescent="0.2">
      <c r="A14" s="1245"/>
      <c r="B14" s="1249" t="s">
        <v>491</v>
      </c>
      <c r="C14" s="1250" t="s">
        <v>982</v>
      </c>
      <c r="D14" s="1256"/>
      <c r="E14" s="1256"/>
      <c r="F14" s="1296"/>
      <c r="G14" s="1281"/>
      <c r="H14" s="1251"/>
      <c r="I14" s="1271"/>
      <c r="J14" s="1281"/>
      <c r="K14" s="1251"/>
      <c r="L14" s="1294"/>
      <c r="M14" s="1281"/>
      <c r="N14" s="1251"/>
      <c r="O14" s="1271"/>
      <c r="P14" s="1289">
        <v>1969</v>
      </c>
      <c r="Q14" s="1257"/>
      <c r="R14" s="1301"/>
      <c r="S14" s="1283"/>
      <c r="T14" s="748"/>
      <c r="U14" s="1278"/>
      <c r="V14" s="1289"/>
      <c r="W14" s="1257"/>
      <c r="X14" s="1301"/>
      <c r="Y14" s="1281"/>
      <c r="Z14" s="1251"/>
      <c r="AA14" s="1271"/>
      <c r="AB14" s="1281"/>
      <c r="AC14" s="1251"/>
      <c r="AD14" s="1294"/>
      <c r="AE14" s="1281"/>
      <c r="AF14" s="1251"/>
      <c r="AG14" s="1271"/>
      <c r="AH14" s="1281"/>
      <c r="AI14" s="1271"/>
      <c r="AJ14" s="1281"/>
      <c r="AK14" s="1251"/>
      <c r="AL14" s="1294"/>
      <c r="AM14" s="1281"/>
      <c r="AN14" s="1251"/>
      <c r="AO14" s="1271"/>
      <c r="AP14" s="1269">
        <f t="shared" si="0"/>
        <v>1969</v>
      </c>
      <c r="AQ14" s="1253"/>
      <c r="AR14" s="1254"/>
      <c r="AS14" s="236"/>
      <c r="AT14" s="236"/>
    </row>
    <row r="15" spans="1:46" s="235" customFormat="1" ht="16.5" customHeight="1" x14ac:dyDescent="0.2">
      <c r="A15" s="1245"/>
      <c r="B15" s="1249" t="s">
        <v>492</v>
      </c>
      <c r="C15" s="1250" t="s">
        <v>1113</v>
      </c>
      <c r="D15" s="1256"/>
      <c r="E15" s="1256"/>
      <c r="F15" s="1296"/>
      <c r="G15" s="1281"/>
      <c r="H15" s="1251"/>
      <c r="I15" s="1271"/>
      <c r="J15" s="1281"/>
      <c r="K15" s="1251"/>
      <c r="L15" s="1294"/>
      <c r="M15" s="1281"/>
      <c r="N15" s="1251"/>
      <c r="O15" s="1271"/>
      <c r="P15" s="1289"/>
      <c r="Q15" s="1257"/>
      <c r="R15" s="1301"/>
      <c r="S15" s="1286"/>
      <c r="T15" s="765"/>
      <c r="U15" s="1274"/>
      <c r="V15" s="1289"/>
      <c r="W15" s="1257"/>
      <c r="X15" s="1301"/>
      <c r="Y15" s="1281"/>
      <c r="Z15" s="1251"/>
      <c r="AA15" s="1271"/>
      <c r="AB15" s="1281"/>
      <c r="AC15" s="1251"/>
      <c r="AD15" s="1294"/>
      <c r="AE15" s="1281"/>
      <c r="AF15" s="1251"/>
      <c r="AG15" s="1271"/>
      <c r="AH15" s="1281"/>
      <c r="AI15" s="1271"/>
      <c r="AJ15" s="1281"/>
      <c r="AK15" s="1251"/>
      <c r="AL15" s="1294"/>
      <c r="AM15" s="1282">
        <f>'ellátottak önk.'!F13</f>
        <v>850</v>
      </c>
      <c r="AN15" s="1252"/>
      <c r="AO15" s="1272"/>
      <c r="AP15" s="1269">
        <f t="shared" si="0"/>
        <v>850</v>
      </c>
      <c r="AQ15" s="1258"/>
      <c r="AR15" s="1258"/>
      <c r="AS15" s="236"/>
      <c r="AT15" s="236"/>
    </row>
    <row r="16" spans="1:46" s="235" customFormat="1" ht="16.5" customHeight="1" x14ac:dyDescent="0.2">
      <c r="A16" s="1245"/>
      <c r="B16" s="1249" t="s">
        <v>493</v>
      </c>
      <c r="C16" s="1250" t="s">
        <v>1112</v>
      </c>
      <c r="D16" s="1256"/>
      <c r="E16" s="1256"/>
      <c r="F16" s="1296"/>
      <c r="G16" s="1281"/>
      <c r="H16" s="1251"/>
      <c r="I16" s="1271"/>
      <c r="J16" s="1281"/>
      <c r="K16" s="1251"/>
      <c r="L16" s="1294"/>
      <c r="M16" s="1281"/>
      <c r="N16" s="1251"/>
      <c r="O16" s="1271"/>
      <c r="P16" s="1289"/>
      <c r="Q16" s="1257"/>
      <c r="R16" s="1301"/>
      <c r="S16" s="1286"/>
      <c r="T16" s="765"/>
      <c r="U16" s="1274"/>
      <c r="V16" s="1289"/>
      <c r="W16" s="1257"/>
      <c r="X16" s="1301"/>
      <c r="Y16" s="1281"/>
      <c r="Z16" s="1251"/>
      <c r="AA16" s="1271"/>
      <c r="AB16" s="1281"/>
      <c r="AC16" s="1251"/>
      <c r="AD16" s="1294"/>
      <c r="AE16" s="1281"/>
      <c r="AF16" s="1251"/>
      <c r="AG16" s="1271"/>
      <c r="AH16" s="1281"/>
      <c r="AI16" s="1271"/>
      <c r="AJ16" s="1281"/>
      <c r="AK16" s="1251"/>
      <c r="AL16" s="1294"/>
      <c r="AM16" s="1282">
        <v>600</v>
      </c>
      <c r="AN16" s="1252"/>
      <c r="AO16" s="1272"/>
      <c r="AP16" s="1269">
        <f t="shared" ref="AP16:AP26" si="1">SUM(D16:AM16)</f>
        <v>600</v>
      </c>
      <c r="AQ16" s="1258"/>
      <c r="AR16" s="1258"/>
      <c r="AS16" s="236"/>
      <c r="AT16" s="236"/>
    </row>
    <row r="17" spans="1:46" s="235" customFormat="1" ht="16.5" customHeight="1" x14ac:dyDescent="0.2">
      <c r="A17" s="1245"/>
      <c r="B17" s="1249" t="s">
        <v>494</v>
      </c>
      <c r="C17" s="1250" t="s">
        <v>1114</v>
      </c>
      <c r="D17" s="1256"/>
      <c r="E17" s="1256"/>
      <c r="F17" s="1296"/>
      <c r="G17" s="1281"/>
      <c r="H17" s="1251"/>
      <c r="I17" s="1271"/>
      <c r="J17" s="1281"/>
      <c r="K17" s="1251"/>
      <c r="L17" s="1294"/>
      <c r="M17" s="1281"/>
      <c r="N17" s="1251"/>
      <c r="O17" s="1271"/>
      <c r="P17" s="1289"/>
      <c r="Q17" s="1257"/>
      <c r="R17" s="1301"/>
      <c r="S17" s="1286"/>
      <c r="T17" s="765"/>
      <c r="U17" s="1274"/>
      <c r="V17" s="1289"/>
      <c r="W17" s="1257"/>
      <c r="X17" s="1301"/>
      <c r="Y17" s="1281"/>
      <c r="Z17" s="1251"/>
      <c r="AA17" s="1271"/>
      <c r="AB17" s="1281"/>
      <c r="AC17" s="1251"/>
      <c r="AD17" s="1294"/>
      <c r="AE17" s="1281"/>
      <c r="AF17" s="1251"/>
      <c r="AG17" s="1271"/>
      <c r="AH17" s="1281"/>
      <c r="AI17" s="1271"/>
      <c r="AJ17" s="1281"/>
      <c r="AK17" s="1251"/>
      <c r="AL17" s="1294"/>
      <c r="AM17" s="1282">
        <v>800</v>
      </c>
      <c r="AN17" s="1252"/>
      <c r="AO17" s="1272"/>
      <c r="AP17" s="1269">
        <f t="shared" si="1"/>
        <v>800</v>
      </c>
      <c r="AQ17" s="1258"/>
      <c r="AR17" s="1258"/>
      <c r="AS17" s="236"/>
      <c r="AT17" s="236"/>
    </row>
    <row r="18" spans="1:46" s="235" customFormat="1" ht="15.75" customHeight="1" x14ac:dyDescent="0.2">
      <c r="A18" s="1245"/>
      <c r="B18" s="1249" t="s">
        <v>495</v>
      </c>
      <c r="C18" s="1250" t="s">
        <v>1115</v>
      </c>
      <c r="D18" s="1256"/>
      <c r="E18" s="1256"/>
      <c r="F18" s="1296"/>
      <c r="G18" s="1281"/>
      <c r="H18" s="1251"/>
      <c r="I18" s="1271"/>
      <c r="J18" s="1281"/>
      <c r="K18" s="1251"/>
      <c r="L18" s="1294"/>
      <c r="M18" s="1281"/>
      <c r="N18" s="1251"/>
      <c r="O18" s="1271"/>
      <c r="P18" s="1289"/>
      <c r="Q18" s="1257"/>
      <c r="R18" s="1301"/>
      <c r="S18" s="1286"/>
      <c r="T18" s="765"/>
      <c r="U18" s="1274"/>
      <c r="V18" s="1289"/>
      <c r="W18" s="1257"/>
      <c r="X18" s="1301"/>
      <c r="Y18" s="1281"/>
      <c r="Z18" s="1251"/>
      <c r="AA18" s="1271"/>
      <c r="AB18" s="1281"/>
      <c r="AC18" s="1251"/>
      <c r="AD18" s="1294"/>
      <c r="AE18" s="1281"/>
      <c r="AF18" s="1251"/>
      <c r="AG18" s="1271"/>
      <c r="AH18" s="1281"/>
      <c r="AI18" s="1271"/>
      <c r="AJ18" s="1281"/>
      <c r="AK18" s="1251"/>
      <c r="AL18" s="1294"/>
      <c r="AM18" s="1282">
        <v>1000</v>
      </c>
      <c r="AN18" s="1252"/>
      <c r="AO18" s="1272"/>
      <c r="AP18" s="1269">
        <f t="shared" si="1"/>
        <v>1000</v>
      </c>
      <c r="AQ18" s="1258"/>
      <c r="AR18" s="1258"/>
      <c r="AS18" s="236"/>
      <c r="AT18" s="236"/>
    </row>
    <row r="19" spans="1:46" s="235" customFormat="1" ht="13.5" customHeight="1" x14ac:dyDescent="0.2">
      <c r="A19" s="1245"/>
      <c r="B19" s="1249" t="s">
        <v>531</v>
      </c>
      <c r="C19" s="1250" t="s">
        <v>1116</v>
      </c>
      <c r="D19" s="1256"/>
      <c r="E19" s="1256"/>
      <c r="F19" s="1296"/>
      <c r="G19" s="1281"/>
      <c r="H19" s="1251"/>
      <c r="I19" s="1271"/>
      <c r="J19" s="1281"/>
      <c r="K19" s="1251"/>
      <c r="L19" s="1294"/>
      <c r="M19" s="1281"/>
      <c r="N19" s="1251"/>
      <c r="O19" s="1271"/>
      <c r="P19" s="1289"/>
      <c r="Q19" s="1257"/>
      <c r="R19" s="1301"/>
      <c r="S19" s="1286"/>
      <c r="T19" s="765"/>
      <c r="U19" s="1274"/>
      <c r="V19" s="1289"/>
      <c r="W19" s="1257"/>
      <c r="X19" s="1301"/>
      <c r="Y19" s="1281"/>
      <c r="Z19" s="1251"/>
      <c r="AA19" s="1271"/>
      <c r="AB19" s="1281"/>
      <c r="AC19" s="1251"/>
      <c r="AD19" s="1294"/>
      <c r="AE19" s="1281"/>
      <c r="AF19" s="1251"/>
      <c r="AG19" s="1271"/>
      <c r="AH19" s="1281"/>
      <c r="AI19" s="1271"/>
      <c r="AJ19" s="1281"/>
      <c r="AK19" s="1251"/>
      <c r="AL19" s="1294"/>
      <c r="AM19" s="1282">
        <v>600</v>
      </c>
      <c r="AN19" s="1252"/>
      <c r="AO19" s="1272"/>
      <c r="AP19" s="1269">
        <f t="shared" si="1"/>
        <v>600</v>
      </c>
      <c r="AQ19" s="1258"/>
      <c r="AR19" s="1258"/>
      <c r="AS19" s="236"/>
      <c r="AT19" s="236"/>
    </row>
    <row r="20" spans="1:46" s="235" customFormat="1" ht="13.5" customHeight="1" x14ac:dyDescent="0.2">
      <c r="A20" s="1245"/>
      <c r="B20" s="1249" t="s">
        <v>532</v>
      </c>
      <c r="C20" s="1250" t="s">
        <v>1117</v>
      </c>
      <c r="D20" s="1256"/>
      <c r="E20" s="1256"/>
      <c r="F20" s="1296"/>
      <c r="G20" s="1281"/>
      <c r="H20" s="1251"/>
      <c r="I20" s="1271"/>
      <c r="J20" s="1281"/>
      <c r="K20" s="1251"/>
      <c r="L20" s="1294"/>
      <c r="M20" s="1281"/>
      <c r="N20" s="1251"/>
      <c r="O20" s="1271"/>
      <c r="P20" s="1289"/>
      <c r="Q20" s="1257"/>
      <c r="R20" s="1301"/>
      <c r="S20" s="1286"/>
      <c r="T20" s="765"/>
      <c r="U20" s="1274"/>
      <c r="V20" s="1289"/>
      <c r="W20" s="1257"/>
      <c r="X20" s="1301"/>
      <c r="Y20" s="1281"/>
      <c r="Z20" s="1251"/>
      <c r="AA20" s="1271"/>
      <c r="AB20" s="1281"/>
      <c r="AC20" s="1251"/>
      <c r="AD20" s="1294"/>
      <c r="AE20" s="1281"/>
      <c r="AF20" s="1251"/>
      <c r="AG20" s="1271"/>
      <c r="AH20" s="1281"/>
      <c r="AI20" s="1271"/>
      <c r="AJ20" s="1282">
        <v>2300</v>
      </c>
      <c r="AK20" s="1252"/>
      <c r="AL20" s="1295"/>
      <c r="AM20" s="1282"/>
      <c r="AN20" s="1252"/>
      <c r="AO20" s="1272"/>
      <c r="AP20" s="1269">
        <f t="shared" si="1"/>
        <v>2300</v>
      </c>
      <c r="AQ20" s="1258"/>
      <c r="AR20" s="1258"/>
      <c r="AS20" s="236"/>
      <c r="AT20" s="236"/>
    </row>
    <row r="21" spans="1:46" s="235" customFormat="1" ht="12" customHeight="1" x14ac:dyDescent="0.2">
      <c r="A21" s="1245"/>
      <c r="B21" s="1249" t="s">
        <v>533</v>
      </c>
      <c r="C21" s="1250" t="s">
        <v>987</v>
      </c>
      <c r="D21" s="1256"/>
      <c r="E21" s="1256"/>
      <c r="F21" s="1296"/>
      <c r="G21" s="1281"/>
      <c r="H21" s="1251"/>
      <c r="I21" s="1271"/>
      <c r="J21" s="1281"/>
      <c r="K21" s="1251"/>
      <c r="L21" s="1294"/>
      <c r="M21" s="1281"/>
      <c r="N21" s="1251"/>
      <c r="O21" s="1271"/>
      <c r="P21" s="1289"/>
      <c r="Q21" s="1257"/>
      <c r="R21" s="1301"/>
      <c r="S21" s="1286"/>
      <c r="T21" s="765"/>
      <c r="U21" s="1274"/>
      <c r="V21" s="1289"/>
      <c r="W21" s="1257"/>
      <c r="X21" s="1301"/>
      <c r="Y21" s="1281"/>
      <c r="Z21" s="1251"/>
      <c r="AA21" s="1271"/>
      <c r="AB21" s="1281"/>
      <c r="AC21" s="1251"/>
      <c r="AD21" s="1294"/>
      <c r="AE21" s="1281"/>
      <c r="AF21" s="1251"/>
      <c r="AG21" s="1271"/>
      <c r="AH21" s="1281"/>
      <c r="AI21" s="1271"/>
      <c r="AJ21" s="1281"/>
      <c r="AK21" s="1251"/>
      <c r="AL21" s="1294"/>
      <c r="AM21" s="1282">
        <f>'ellátottak önk.'!F22</f>
        <v>1100</v>
      </c>
      <c r="AN21" s="1252"/>
      <c r="AO21" s="1272"/>
      <c r="AP21" s="1269">
        <f t="shared" si="1"/>
        <v>1100</v>
      </c>
      <c r="AQ21" s="1258"/>
      <c r="AR21" s="1258"/>
      <c r="AS21" s="236"/>
      <c r="AT21" s="236"/>
    </row>
    <row r="22" spans="1:46" s="235" customFormat="1" ht="15" customHeight="1" x14ac:dyDescent="0.2">
      <c r="A22" s="1245"/>
      <c r="B22" s="1249" t="s">
        <v>534</v>
      </c>
      <c r="C22" s="1250" t="s">
        <v>988</v>
      </c>
      <c r="D22" s="1256"/>
      <c r="E22" s="1256"/>
      <c r="F22" s="1296"/>
      <c r="G22" s="1281"/>
      <c r="H22" s="1251"/>
      <c r="I22" s="1271"/>
      <c r="J22" s="1281"/>
      <c r="K22" s="1251"/>
      <c r="L22" s="1294"/>
      <c r="M22" s="1281"/>
      <c r="N22" s="1251"/>
      <c r="O22" s="1271"/>
      <c r="P22" s="1289"/>
      <c r="Q22" s="1257"/>
      <c r="R22" s="1301"/>
      <c r="S22" s="1286"/>
      <c r="T22" s="765"/>
      <c r="U22" s="1274"/>
      <c r="V22" s="1289"/>
      <c r="W22" s="1257"/>
      <c r="X22" s="1301"/>
      <c r="Y22" s="1281"/>
      <c r="Z22" s="1251"/>
      <c r="AA22" s="1271"/>
      <c r="AB22" s="1281"/>
      <c r="AC22" s="1251"/>
      <c r="AD22" s="1294"/>
      <c r="AE22" s="1281"/>
      <c r="AF22" s="1251"/>
      <c r="AG22" s="1271"/>
      <c r="AH22" s="1281"/>
      <c r="AI22" s="1271"/>
      <c r="AJ22" s="1281"/>
      <c r="AK22" s="1251"/>
      <c r="AL22" s="1294"/>
      <c r="AM22" s="1282">
        <f>'ellátottak önk.'!F21</f>
        <v>1800</v>
      </c>
      <c r="AN22" s="1252"/>
      <c r="AO22" s="1272"/>
      <c r="AP22" s="1269">
        <f t="shared" si="1"/>
        <v>1800</v>
      </c>
      <c r="AQ22" s="1258"/>
      <c r="AR22" s="1258"/>
      <c r="AS22" s="236"/>
      <c r="AT22" s="236"/>
    </row>
    <row r="23" spans="1:46" s="235" customFormat="1" ht="13.5" customHeight="1" x14ac:dyDescent="0.2">
      <c r="A23" s="1245"/>
      <c r="B23" s="1249" t="s">
        <v>535</v>
      </c>
      <c r="C23" s="1250" t="s">
        <v>1118</v>
      </c>
      <c r="D23" s="1256"/>
      <c r="E23" s="1256"/>
      <c r="F23" s="1296"/>
      <c r="G23" s="1281"/>
      <c r="H23" s="1251"/>
      <c r="I23" s="1271"/>
      <c r="J23" s="1281"/>
      <c r="K23" s="1251"/>
      <c r="L23" s="1294"/>
      <c r="M23" s="1281"/>
      <c r="N23" s="1251"/>
      <c r="O23" s="1271"/>
      <c r="P23" s="1289">
        <v>111</v>
      </c>
      <c r="Q23" s="1257"/>
      <c r="R23" s="1301"/>
      <c r="S23" s="1286"/>
      <c r="T23" s="765"/>
      <c r="U23" s="1274"/>
      <c r="V23" s="1289"/>
      <c r="W23" s="1257"/>
      <c r="X23" s="1301"/>
      <c r="Y23" s="1281"/>
      <c r="Z23" s="1251"/>
      <c r="AA23" s="1271"/>
      <c r="AB23" s="1281"/>
      <c r="AC23" s="1251"/>
      <c r="AD23" s="1294"/>
      <c r="AE23" s="1281"/>
      <c r="AF23" s="1251"/>
      <c r="AG23" s="1271"/>
      <c r="AH23" s="1281"/>
      <c r="AI23" s="1271"/>
      <c r="AJ23" s="1282">
        <v>389</v>
      </c>
      <c r="AK23" s="1252"/>
      <c r="AL23" s="1295"/>
      <c r="AM23" s="1282">
        <f>'ellátottak önk.'!F20</f>
        <v>0</v>
      </c>
      <c r="AN23" s="1252"/>
      <c r="AO23" s="1272"/>
      <c r="AP23" s="1269">
        <f t="shared" si="1"/>
        <v>500</v>
      </c>
      <c r="AQ23" s="1258"/>
      <c r="AR23" s="1258"/>
      <c r="AS23" s="236"/>
      <c r="AT23" s="236"/>
    </row>
    <row r="24" spans="1:46" s="235" customFormat="1" ht="13.5" customHeight="1" x14ac:dyDescent="0.2">
      <c r="A24" s="1245"/>
      <c r="B24" s="1249" t="s">
        <v>536</v>
      </c>
      <c r="C24" s="1250" t="s">
        <v>1006</v>
      </c>
      <c r="D24" s="1256"/>
      <c r="E24" s="1256"/>
      <c r="F24" s="1296"/>
      <c r="G24" s="1281"/>
      <c r="H24" s="1251"/>
      <c r="I24" s="1271"/>
      <c r="J24" s="1281"/>
      <c r="K24" s="1251"/>
      <c r="L24" s="1294"/>
      <c r="M24" s="1281"/>
      <c r="N24" s="1251"/>
      <c r="O24" s="1271"/>
      <c r="P24" s="1289"/>
      <c r="Q24" s="1257"/>
      <c r="R24" s="1301"/>
      <c r="S24" s="1286"/>
      <c r="T24" s="765"/>
      <c r="U24" s="1274"/>
      <c r="V24" s="1289"/>
      <c r="W24" s="1257"/>
      <c r="X24" s="1301"/>
      <c r="Y24" s="1281"/>
      <c r="Z24" s="1251"/>
      <c r="AA24" s="1271"/>
      <c r="AB24" s="1281"/>
      <c r="AC24" s="1251"/>
      <c r="AD24" s="1294"/>
      <c r="AE24" s="1281"/>
      <c r="AF24" s="1251"/>
      <c r="AG24" s="1271"/>
      <c r="AH24" s="1281"/>
      <c r="AI24" s="1271"/>
      <c r="AJ24" s="1281"/>
      <c r="AK24" s="1251"/>
      <c r="AL24" s="1294"/>
      <c r="AM24" s="1282">
        <f>'ellátottak önk.'!F26</f>
        <v>4200</v>
      </c>
      <c r="AN24" s="1252"/>
      <c r="AO24" s="1272"/>
      <c r="AP24" s="1269">
        <f t="shared" si="1"/>
        <v>4200</v>
      </c>
      <c r="AQ24" s="1258"/>
      <c r="AR24" s="1258"/>
      <c r="AS24" s="236"/>
      <c r="AT24" s="236"/>
    </row>
    <row r="25" spans="1:46" s="235" customFormat="1" ht="12.75" customHeight="1" x14ac:dyDescent="0.2">
      <c r="A25" s="1245"/>
      <c r="B25" s="1249" t="s">
        <v>537</v>
      </c>
      <c r="C25" s="1250" t="s">
        <v>561</v>
      </c>
      <c r="D25" s="1256"/>
      <c r="E25" s="1256"/>
      <c r="F25" s="1296"/>
      <c r="G25" s="1281"/>
      <c r="H25" s="1251"/>
      <c r="I25" s="1271"/>
      <c r="J25" s="1281"/>
      <c r="K25" s="1251"/>
      <c r="L25" s="1294"/>
      <c r="M25" s="1281"/>
      <c r="N25" s="1251"/>
      <c r="O25" s="1271"/>
      <c r="P25" s="1289"/>
      <c r="Q25" s="1257"/>
      <c r="R25" s="1301"/>
      <c r="S25" s="1286">
        <v>400</v>
      </c>
      <c r="T25" s="765"/>
      <c r="U25" s="1274"/>
      <c r="V25" s="1289"/>
      <c r="W25" s="1257"/>
      <c r="X25" s="1301"/>
      <c r="Y25" s="1281"/>
      <c r="Z25" s="1251"/>
      <c r="AA25" s="1271"/>
      <c r="AB25" s="1281"/>
      <c r="AC25" s="1251"/>
      <c r="AD25" s="1294"/>
      <c r="AE25" s="1281"/>
      <c r="AF25" s="1251"/>
      <c r="AG25" s="1271"/>
      <c r="AH25" s="1281"/>
      <c r="AI25" s="1271"/>
      <c r="AJ25" s="1282"/>
      <c r="AK25" s="1252"/>
      <c r="AL25" s="1295"/>
      <c r="AM25" s="1282"/>
      <c r="AN25" s="1252"/>
      <c r="AO25" s="1272"/>
      <c r="AP25" s="1269">
        <f t="shared" si="1"/>
        <v>400</v>
      </c>
      <c r="AQ25" s="1259"/>
      <c r="AR25" s="1258"/>
      <c r="AS25" s="236"/>
      <c r="AT25" s="236"/>
    </row>
    <row r="26" spans="1:46" s="235" customFormat="1" ht="14.25" customHeight="1" x14ac:dyDescent="0.2">
      <c r="A26" s="1245"/>
      <c r="B26" s="1249" t="s">
        <v>538</v>
      </c>
      <c r="C26" s="1250" t="s">
        <v>1005</v>
      </c>
      <c r="D26" s="1256"/>
      <c r="E26" s="1256"/>
      <c r="F26" s="1296"/>
      <c r="G26" s="1281"/>
      <c r="H26" s="1251"/>
      <c r="I26" s="1271"/>
      <c r="J26" s="1281"/>
      <c r="K26" s="1251"/>
      <c r="L26" s="1294"/>
      <c r="M26" s="1281"/>
      <c r="N26" s="1251"/>
      <c r="O26" s="1271"/>
      <c r="P26" s="1289"/>
      <c r="Q26" s="1257"/>
      <c r="R26" s="1301"/>
      <c r="S26" s="1286">
        <v>2077</v>
      </c>
      <c r="T26" s="765"/>
      <c r="U26" s="1274"/>
      <c r="V26" s="1289"/>
      <c r="W26" s="1257"/>
      <c r="X26" s="1301"/>
      <c r="Y26" s="1281"/>
      <c r="Z26" s="1251"/>
      <c r="AA26" s="1271"/>
      <c r="AB26" s="1281"/>
      <c r="AC26" s="1251"/>
      <c r="AD26" s="1294"/>
      <c r="AE26" s="1281"/>
      <c r="AF26" s="1251"/>
      <c r="AG26" s="1271"/>
      <c r="AH26" s="1281"/>
      <c r="AI26" s="1271"/>
      <c r="AJ26" s="1282">
        <f>'ellátottak önk.'!E24</f>
        <v>0</v>
      </c>
      <c r="AK26" s="1252"/>
      <c r="AL26" s="1295"/>
      <c r="AM26" s="1282">
        <v>0</v>
      </c>
      <c r="AN26" s="1252"/>
      <c r="AO26" s="1272"/>
      <c r="AP26" s="1269">
        <f t="shared" si="1"/>
        <v>2077</v>
      </c>
      <c r="AQ26" s="1259"/>
      <c r="AR26" s="1258"/>
      <c r="AS26" s="236"/>
      <c r="AT26" s="236"/>
    </row>
    <row r="27" spans="1:46" s="235" customFormat="1" ht="15" customHeight="1" x14ac:dyDescent="0.2">
      <c r="A27" s="1245"/>
      <c r="B27" s="1249" t="s">
        <v>540</v>
      </c>
      <c r="C27" s="781" t="s">
        <v>990</v>
      </c>
      <c r="D27" s="748"/>
      <c r="E27" s="748"/>
      <c r="F27" s="1297"/>
      <c r="G27" s="1283"/>
      <c r="H27" s="748"/>
      <c r="I27" s="1278"/>
      <c r="J27" s="1283"/>
      <c r="K27" s="748"/>
      <c r="L27" s="1297"/>
      <c r="M27" s="1283"/>
      <c r="N27" s="748"/>
      <c r="O27" s="1278"/>
      <c r="P27" s="1283"/>
      <c r="Q27" s="748"/>
      <c r="R27" s="1297"/>
      <c r="S27" s="1283">
        <v>20</v>
      </c>
      <c r="T27" s="748"/>
      <c r="U27" s="1278"/>
      <c r="V27" s="1283"/>
      <c r="W27" s="748"/>
      <c r="X27" s="1297"/>
      <c r="Y27" s="1283"/>
      <c r="Z27" s="748"/>
      <c r="AA27" s="1278"/>
      <c r="AB27" s="1283"/>
      <c r="AC27" s="748"/>
      <c r="AD27" s="1297"/>
      <c r="AE27" s="1283"/>
      <c r="AF27" s="748"/>
      <c r="AG27" s="1278"/>
      <c r="AH27" s="1283"/>
      <c r="AI27" s="1278"/>
      <c r="AJ27" s="1283"/>
      <c r="AK27" s="748"/>
      <c r="AL27" s="1297"/>
      <c r="AM27" s="1283"/>
      <c r="AN27" s="748"/>
      <c r="AO27" s="1278"/>
      <c r="AP27" s="1273">
        <f t="shared" si="0"/>
        <v>20</v>
      </c>
      <c r="AQ27" s="747"/>
      <c r="AR27" s="1258"/>
      <c r="AS27" s="236"/>
      <c r="AT27" s="236"/>
    </row>
    <row r="28" spans="1:46" s="235" customFormat="1" ht="15" customHeight="1" x14ac:dyDescent="0.2">
      <c r="A28" s="1245"/>
      <c r="B28" s="1249" t="s">
        <v>541</v>
      </c>
      <c r="C28" s="781" t="s">
        <v>989</v>
      </c>
      <c r="D28" s="748"/>
      <c r="E28" s="748"/>
      <c r="F28" s="1297"/>
      <c r="G28" s="1283"/>
      <c r="H28" s="748"/>
      <c r="I28" s="1278"/>
      <c r="J28" s="1283"/>
      <c r="K28" s="748"/>
      <c r="L28" s="1297"/>
      <c r="M28" s="1283"/>
      <c r="N28" s="748"/>
      <c r="O28" s="1278"/>
      <c r="P28" s="1283"/>
      <c r="Q28" s="748"/>
      <c r="R28" s="1297"/>
      <c r="S28" s="1283">
        <v>120</v>
      </c>
      <c r="T28" s="748"/>
      <c r="U28" s="1278"/>
      <c r="V28" s="1283"/>
      <c r="W28" s="748"/>
      <c r="X28" s="1297"/>
      <c r="Y28" s="1283"/>
      <c r="Z28" s="748"/>
      <c r="AA28" s="1278"/>
      <c r="AB28" s="1283"/>
      <c r="AC28" s="748"/>
      <c r="AD28" s="1297"/>
      <c r="AE28" s="1283"/>
      <c r="AF28" s="748"/>
      <c r="AG28" s="1278"/>
      <c r="AH28" s="1283"/>
      <c r="AI28" s="1278"/>
      <c r="AJ28" s="1283"/>
      <c r="AK28" s="748"/>
      <c r="AL28" s="1297"/>
      <c r="AM28" s="1283"/>
      <c r="AN28" s="748"/>
      <c r="AO28" s="1278"/>
      <c r="AP28" s="1273">
        <f t="shared" si="0"/>
        <v>120</v>
      </c>
      <c r="AQ28" s="1258"/>
      <c r="AR28" s="1258"/>
      <c r="AS28" s="236"/>
      <c r="AT28" s="236"/>
    </row>
    <row r="29" spans="1:46" s="235" customFormat="1" ht="15" customHeight="1" x14ac:dyDescent="0.2">
      <c r="A29" s="1245"/>
      <c r="B29" s="1249" t="s">
        <v>542</v>
      </c>
      <c r="C29" s="781" t="s">
        <v>1007</v>
      </c>
      <c r="D29" s="748"/>
      <c r="E29" s="748"/>
      <c r="F29" s="1297"/>
      <c r="G29" s="1283"/>
      <c r="H29" s="748"/>
      <c r="I29" s="1278"/>
      <c r="J29" s="1283"/>
      <c r="K29" s="748"/>
      <c r="L29" s="1297"/>
      <c r="M29" s="1283"/>
      <c r="N29" s="748"/>
      <c r="O29" s="1278"/>
      <c r="P29" s="1283">
        <v>6431</v>
      </c>
      <c r="Q29" s="748"/>
      <c r="R29" s="1297"/>
      <c r="S29" s="1283">
        <v>7330</v>
      </c>
      <c r="T29" s="748"/>
      <c r="U29" s="1278"/>
      <c r="V29" s="1283"/>
      <c r="W29" s="748"/>
      <c r="X29" s="1297"/>
      <c r="Y29" s="1283"/>
      <c r="Z29" s="748"/>
      <c r="AA29" s="1278"/>
      <c r="AB29" s="1283"/>
      <c r="AC29" s="748"/>
      <c r="AD29" s="1297"/>
      <c r="AE29" s="1283"/>
      <c r="AF29" s="748"/>
      <c r="AG29" s="1278"/>
      <c r="AH29" s="1283"/>
      <c r="AI29" s="1278"/>
      <c r="AJ29" s="1283"/>
      <c r="AK29" s="748"/>
      <c r="AL29" s="1297"/>
      <c r="AM29" s="1283"/>
      <c r="AN29" s="748"/>
      <c r="AO29" s="1278"/>
      <c r="AP29" s="1273">
        <f>SUM(D29:AM29)</f>
        <v>13761</v>
      </c>
      <c r="AQ29" s="1258"/>
      <c r="AR29" s="1258"/>
      <c r="AS29" s="236"/>
      <c r="AT29" s="236"/>
    </row>
    <row r="30" spans="1:46" s="235" customFormat="1" ht="15" customHeight="1" x14ac:dyDescent="0.2">
      <c r="A30" s="1245"/>
      <c r="B30" s="1249" t="s">
        <v>543</v>
      </c>
      <c r="C30" s="781" t="s">
        <v>991</v>
      </c>
      <c r="D30" s="748"/>
      <c r="E30" s="748"/>
      <c r="F30" s="1297"/>
      <c r="G30" s="1283"/>
      <c r="H30" s="748"/>
      <c r="I30" s="1278"/>
      <c r="J30" s="1283"/>
      <c r="K30" s="748"/>
      <c r="L30" s="1297"/>
      <c r="M30" s="1283"/>
      <c r="N30" s="748"/>
      <c r="O30" s="1278"/>
      <c r="P30" s="1283">
        <v>288</v>
      </c>
      <c r="Q30" s="748"/>
      <c r="R30" s="1297"/>
      <c r="S30" s="1283">
        <v>13763</v>
      </c>
      <c r="T30" s="748"/>
      <c r="U30" s="1278"/>
      <c r="V30" s="1283"/>
      <c r="W30" s="748"/>
      <c r="X30" s="1297"/>
      <c r="Y30" s="1283"/>
      <c r="Z30" s="748"/>
      <c r="AA30" s="1278"/>
      <c r="AB30" s="1283"/>
      <c r="AC30" s="748"/>
      <c r="AD30" s="1297"/>
      <c r="AE30" s="1283"/>
      <c r="AF30" s="748"/>
      <c r="AG30" s="1278"/>
      <c r="AH30" s="1283"/>
      <c r="AI30" s="1278"/>
      <c r="AJ30" s="1283"/>
      <c r="AK30" s="748"/>
      <c r="AL30" s="1297"/>
      <c r="AM30" s="1283"/>
      <c r="AN30" s="748"/>
      <c r="AO30" s="1278"/>
      <c r="AP30" s="1273">
        <f t="shared" si="0"/>
        <v>14051</v>
      </c>
      <c r="AQ30" s="1258"/>
      <c r="AR30" s="1258"/>
      <c r="AS30" s="236"/>
      <c r="AT30" s="236"/>
    </row>
    <row r="31" spans="1:46" s="235" customFormat="1" ht="15" customHeight="1" x14ac:dyDescent="0.2">
      <c r="A31" s="1245"/>
      <c r="B31" s="1249" t="s">
        <v>544</v>
      </c>
      <c r="C31" s="781" t="s">
        <v>992</v>
      </c>
      <c r="D31" s="748">
        <v>38037</v>
      </c>
      <c r="E31" s="748"/>
      <c r="F31" s="1297"/>
      <c r="G31" s="1283"/>
      <c r="H31" s="748"/>
      <c r="I31" s="1278"/>
      <c r="J31" s="1283">
        <v>11893</v>
      </c>
      <c r="K31" s="748"/>
      <c r="L31" s="1297"/>
      <c r="M31" s="1283"/>
      <c r="N31" s="748"/>
      <c r="O31" s="1278"/>
      <c r="P31" s="1283">
        <v>1220</v>
      </c>
      <c r="Q31" s="748"/>
      <c r="R31" s="1297"/>
      <c r="S31" s="1283"/>
      <c r="T31" s="748"/>
      <c r="U31" s="1278"/>
      <c r="V31" s="1283"/>
      <c r="W31" s="748"/>
      <c r="X31" s="1297"/>
      <c r="Y31" s="1283"/>
      <c r="Z31" s="748"/>
      <c r="AA31" s="1278"/>
      <c r="AB31" s="1283"/>
      <c r="AC31" s="748"/>
      <c r="AD31" s="1297"/>
      <c r="AE31" s="1283"/>
      <c r="AF31" s="748"/>
      <c r="AG31" s="1278"/>
      <c r="AH31" s="1283"/>
      <c r="AI31" s="1278"/>
      <c r="AJ31" s="1283"/>
      <c r="AK31" s="748"/>
      <c r="AL31" s="1297"/>
      <c r="AM31" s="1283"/>
      <c r="AN31" s="748"/>
      <c r="AO31" s="1278"/>
      <c r="AP31" s="1273">
        <f>SUM(D31:AM31)</f>
        <v>51150</v>
      </c>
      <c r="AQ31" s="747"/>
      <c r="AR31" s="1258"/>
      <c r="AS31" s="236"/>
      <c r="AT31" s="236"/>
    </row>
    <row r="32" spans="1:46" s="235" customFormat="1" ht="15" customHeight="1" x14ac:dyDescent="0.2">
      <c r="A32" s="1245"/>
      <c r="B32" s="1249" t="s">
        <v>545</v>
      </c>
      <c r="C32" s="781" t="s">
        <v>999</v>
      </c>
      <c r="D32" s="748">
        <v>0</v>
      </c>
      <c r="E32" s="748"/>
      <c r="F32" s="1297"/>
      <c r="G32" s="1283"/>
      <c r="H32" s="748"/>
      <c r="I32" s="1278"/>
      <c r="J32" s="1283">
        <v>0</v>
      </c>
      <c r="K32" s="748"/>
      <c r="L32" s="1297"/>
      <c r="M32" s="1283"/>
      <c r="N32" s="748"/>
      <c r="O32" s="1278"/>
      <c r="P32" s="1283">
        <v>3361</v>
      </c>
      <c r="Q32" s="748"/>
      <c r="R32" s="1297"/>
      <c r="S32" s="1283"/>
      <c r="T32" s="748"/>
      <c r="U32" s="1278"/>
      <c r="V32" s="1283"/>
      <c r="W32" s="748"/>
      <c r="X32" s="1297"/>
      <c r="Y32" s="1283"/>
      <c r="Z32" s="748"/>
      <c r="AA32" s="1278"/>
      <c r="AB32" s="1283"/>
      <c r="AC32" s="748"/>
      <c r="AD32" s="1297"/>
      <c r="AE32" s="1283"/>
      <c r="AF32" s="748"/>
      <c r="AG32" s="1278"/>
      <c r="AH32" s="1283"/>
      <c r="AI32" s="1278"/>
      <c r="AJ32" s="1283"/>
      <c r="AK32" s="748"/>
      <c r="AL32" s="1297"/>
      <c r="AM32" s="1283"/>
      <c r="AN32" s="748"/>
      <c r="AO32" s="1278"/>
      <c r="AP32" s="1273">
        <f t="shared" si="0"/>
        <v>3361</v>
      </c>
      <c r="AQ32" s="1258"/>
      <c r="AR32" s="1260"/>
      <c r="AS32" s="236"/>
      <c r="AT32" s="236"/>
    </row>
    <row r="33" spans="1:46" s="401" customFormat="1" ht="15" customHeight="1" x14ac:dyDescent="0.2">
      <c r="A33" s="1246"/>
      <c r="B33" s="1249" t="s">
        <v>546</v>
      </c>
      <c r="C33" s="1261" t="s">
        <v>996</v>
      </c>
      <c r="D33" s="791"/>
      <c r="E33" s="791"/>
      <c r="F33" s="1298"/>
      <c r="G33" s="1284">
        <f>2200+1000</f>
        <v>3200</v>
      </c>
      <c r="H33" s="791"/>
      <c r="I33" s="1279"/>
      <c r="J33" s="1284"/>
      <c r="K33" s="791"/>
      <c r="L33" s="1298"/>
      <c r="M33" s="1284">
        <f>600+200</f>
        <v>800</v>
      </c>
      <c r="N33" s="791"/>
      <c r="O33" s="1279"/>
      <c r="P33" s="1284"/>
      <c r="Q33" s="791"/>
      <c r="R33" s="1298"/>
      <c r="S33" s="1284">
        <f>9272+2000</f>
        <v>11272</v>
      </c>
      <c r="T33" s="791"/>
      <c r="U33" s="1279"/>
      <c r="V33" s="1284"/>
      <c r="W33" s="791"/>
      <c r="X33" s="1298"/>
      <c r="Y33" s="1284"/>
      <c r="Z33" s="791"/>
      <c r="AA33" s="1279"/>
      <c r="AB33" s="1284"/>
      <c r="AC33" s="791"/>
      <c r="AD33" s="1298"/>
      <c r="AE33" s="1284"/>
      <c r="AF33" s="791"/>
      <c r="AG33" s="1279"/>
      <c r="AH33" s="1284"/>
      <c r="AI33" s="1279"/>
      <c r="AJ33" s="1284"/>
      <c r="AK33" s="791"/>
      <c r="AL33" s="1298"/>
      <c r="AM33" s="1284"/>
      <c r="AN33" s="791"/>
      <c r="AO33" s="1279"/>
      <c r="AP33" s="1276">
        <f t="shared" si="0"/>
        <v>15272</v>
      </c>
      <c r="AQ33" s="1262"/>
      <c r="AR33" s="1263"/>
      <c r="AS33" s="400"/>
      <c r="AT33" s="400"/>
    </row>
    <row r="34" spans="1:46" s="235" customFormat="1" ht="15" customHeight="1" x14ac:dyDescent="0.2">
      <c r="A34" s="1245"/>
      <c r="B34" s="1249" t="s">
        <v>547</v>
      </c>
      <c r="C34" s="781" t="s">
        <v>1002</v>
      </c>
      <c r="D34" s="748"/>
      <c r="E34" s="748"/>
      <c r="F34" s="1297"/>
      <c r="G34" s="1283"/>
      <c r="H34" s="748"/>
      <c r="I34" s="1278"/>
      <c r="J34" s="1283"/>
      <c r="K34" s="748"/>
      <c r="L34" s="1297"/>
      <c r="M34" s="1283"/>
      <c r="N34" s="748"/>
      <c r="O34" s="1278"/>
      <c r="P34" s="1283">
        <f>20530-5939</f>
        <v>14591</v>
      </c>
      <c r="Q34" s="748"/>
      <c r="R34" s="1297"/>
      <c r="S34" s="1283"/>
      <c r="T34" s="748"/>
      <c r="U34" s="1278"/>
      <c r="V34" s="1283"/>
      <c r="W34" s="748"/>
      <c r="X34" s="1297"/>
      <c r="Y34" s="1283"/>
      <c r="Z34" s="748"/>
      <c r="AA34" s="1278"/>
      <c r="AB34" s="1283"/>
      <c r="AC34" s="748"/>
      <c r="AD34" s="1297"/>
      <c r="AE34" s="1283"/>
      <c r="AF34" s="748"/>
      <c r="AG34" s="1278"/>
      <c r="AH34" s="1283"/>
      <c r="AI34" s="1278"/>
      <c r="AJ34" s="1283"/>
      <c r="AK34" s="748"/>
      <c r="AL34" s="1297"/>
      <c r="AM34" s="1283"/>
      <c r="AN34" s="748"/>
      <c r="AO34" s="1278"/>
      <c r="AP34" s="1273">
        <f t="shared" ref="AP34:AP40" si="2">SUM(D34:AM34)</f>
        <v>14591</v>
      </c>
      <c r="AQ34" s="1264"/>
      <c r="AR34" s="1258"/>
      <c r="AS34" s="236"/>
      <c r="AT34" s="236"/>
    </row>
    <row r="35" spans="1:46" s="235" customFormat="1" ht="15" customHeight="1" x14ac:dyDescent="0.2">
      <c r="A35" s="1245"/>
      <c r="B35" s="1249" t="s">
        <v>567</v>
      </c>
      <c r="C35" s="781" t="s">
        <v>1019</v>
      </c>
      <c r="D35" s="748"/>
      <c r="E35" s="748"/>
      <c r="F35" s="1297"/>
      <c r="G35" s="1283"/>
      <c r="H35" s="748"/>
      <c r="I35" s="1278"/>
      <c r="J35" s="1283"/>
      <c r="K35" s="748"/>
      <c r="L35" s="1297"/>
      <c r="M35" s="1283"/>
      <c r="N35" s="748"/>
      <c r="O35" s="1278"/>
      <c r="P35" s="1283">
        <v>3289</v>
      </c>
      <c r="Q35" s="748"/>
      <c r="R35" s="1297"/>
      <c r="S35" s="1283"/>
      <c r="T35" s="748"/>
      <c r="U35" s="1278"/>
      <c r="V35" s="1283"/>
      <c r="W35" s="748"/>
      <c r="X35" s="1297"/>
      <c r="Y35" s="1283"/>
      <c r="Z35" s="748"/>
      <c r="AA35" s="1278"/>
      <c r="AB35" s="1283"/>
      <c r="AC35" s="748"/>
      <c r="AD35" s="1297"/>
      <c r="AE35" s="1283"/>
      <c r="AF35" s="748"/>
      <c r="AG35" s="1278"/>
      <c r="AH35" s="1283"/>
      <c r="AI35" s="1278"/>
      <c r="AJ35" s="1283"/>
      <c r="AK35" s="748"/>
      <c r="AL35" s="1297"/>
      <c r="AM35" s="1283"/>
      <c r="AN35" s="748"/>
      <c r="AO35" s="1278"/>
      <c r="AP35" s="1273">
        <f t="shared" si="2"/>
        <v>3289</v>
      </c>
      <c r="AQ35" s="1264"/>
      <c r="AR35" s="1258"/>
      <c r="AS35" s="236"/>
      <c r="AT35" s="236"/>
    </row>
    <row r="36" spans="1:46" s="235" customFormat="1" ht="15" customHeight="1" x14ac:dyDescent="0.2">
      <c r="A36" s="1245"/>
      <c r="B36" s="1249" t="s">
        <v>568</v>
      </c>
      <c r="C36" s="781" t="s">
        <v>1318</v>
      </c>
      <c r="D36" s="748"/>
      <c r="E36" s="748"/>
      <c r="F36" s="1297"/>
      <c r="G36" s="1283"/>
      <c r="H36" s="748"/>
      <c r="I36" s="1278"/>
      <c r="J36" s="1283"/>
      <c r="K36" s="748"/>
      <c r="L36" s="1297"/>
      <c r="M36" s="1283"/>
      <c r="N36" s="748"/>
      <c r="O36" s="1278"/>
      <c r="P36" s="1283"/>
      <c r="Q36" s="748"/>
      <c r="R36" s="1297"/>
      <c r="S36" s="1283"/>
      <c r="T36" s="748"/>
      <c r="U36" s="1278"/>
      <c r="V36" s="1283"/>
      <c r="W36" s="748"/>
      <c r="X36" s="1297"/>
      <c r="Y36" s="1283"/>
      <c r="Z36" s="748"/>
      <c r="AA36" s="1278"/>
      <c r="AB36" s="1283"/>
      <c r="AC36" s="748"/>
      <c r="AD36" s="1297"/>
      <c r="AE36" s="1283"/>
      <c r="AF36" s="748"/>
      <c r="AG36" s="1278"/>
      <c r="AH36" s="1283"/>
      <c r="AI36" s="1278"/>
      <c r="AJ36" s="1283"/>
      <c r="AK36" s="748"/>
      <c r="AL36" s="1297"/>
      <c r="AM36" s="1283"/>
      <c r="AN36" s="748"/>
      <c r="AO36" s="1278"/>
      <c r="AP36" s="1273">
        <v>0</v>
      </c>
      <c r="AQ36" s="1264"/>
      <c r="AR36" s="1258"/>
      <c r="AS36" s="236"/>
      <c r="AT36" s="236"/>
    </row>
    <row r="37" spans="1:46" s="235" customFormat="1" ht="15" customHeight="1" x14ac:dyDescent="0.2">
      <c r="A37" s="1245"/>
      <c r="B37" s="1249" t="s">
        <v>569</v>
      </c>
      <c r="C37" s="781" t="s">
        <v>998</v>
      </c>
      <c r="D37" s="748"/>
      <c r="E37" s="748"/>
      <c r="F37" s="1297"/>
      <c r="G37" s="1283"/>
      <c r="H37" s="748"/>
      <c r="I37" s="1278"/>
      <c r="J37" s="1283"/>
      <c r="K37" s="748"/>
      <c r="L37" s="1297"/>
      <c r="M37" s="1283"/>
      <c r="N37" s="748"/>
      <c r="O37" s="1278"/>
      <c r="P37" s="1283">
        <v>6833</v>
      </c>
      <c r="Q37" s="748"/>
      <c r="R37" s="1297"/>
      <c r="S37" s="1283"/>
      <c r="T37" s="748"/>
      <c r="U37" s="1278"/>
      <c r="V37" s="1283"/>
      <c r="W37" s="748"/>
      <c r="X37" s="1297"/>
      <c r="Y37" s="1283"/>
      <c r="Z37" s="748"/>
      <c r="AA37" s="1278"/>
      <c r="AB37" s="1283"/>
      <c r="AC37" s="748"/>
      <c r="AD37" s="1297"/>
      <c r="AE37" s="1283"/>
      <c r="AF37" s="748"/>
      <c r="AG37" s="1278"/>
      <c r="AH37" s="1283"/>
      <c r="AI37" s="1278"/>
      <c r="AJ37" s="1283"/>
      <c r="AK37" s="748"/>
      <c r="AL37" s="1297"/>
      <c r="AM37" s="1283"/>
      <c r="AN37" s="748"/>
      <c r="AO37" s="1278"/>
      <c r="AP37" s="1273">
        <f t="shared" si="2"/>
        <v>6833</v>
      </c>
      <c r="AQ37" s="1264"/>
      <c r="AR37" s="1258"/>
      <c r="AS37" s="236"/>
      <c r="AT37" s="236"/>
    </row>
    <row r="38" spans="1:46" s="235" customFormat="1" ht="15" customHeight="1" x14ac:dyDescent="0.2">
      <c r="A38" s="1245"/>
      <c r="B38" s="1249" t="s">
        <v>570</v>
      </c>
      <c r="C38" s="781" t="s">
        <v>1003</v>
      </c>
      <c r="D38" s="748"/>
      <c r="E38" s="748"/>
      <c r="F38" s="1297"/>
      <c r="G38" s="1283"/>
      <c r="H38" s="748"/>
      <c r="I38" s="1278"/>
      <c r="J38" s="1283"/>
      <c r="K38" s="748"/>
      <c r="L38" s="1297"/>
      <c r="M38" s="1283"/>
      <c r="N38" s="748"/>
      <c r="O38" s="1278"/>
      <c r="P38" s="1283">
        <v>57822</v>
      </c>
      <c r="Q38" s="748"/>
      <c r="R38" s="1297"/>
      <c r="S38" s="1283"/>
      <c r="T38" s="748"/>
      <c r="U38" s="1278"/>
      <c r="V38" s="1283"/>
      <c r="W38" s="748"/>
      <c r="X38" s="1297"/>
      <c r="Y38" s="1283"/>
      <c r="Z38" s="748"/>
      <c r="AA38" s="1278"/>
      <c r="AB38" s="1283"/>
      <c r="AC38" s="748"/>
      <c r="AD38" s="1297"/>
      <c r="AE38" s="1283"/>
      <c r="AF38" s="748"/>
      <c r="AG38" s="1278"/>
      <c r="AH38" s="1283"/>
      <c r="AI38" s="1278"/>
      <c r="AJ38" s="1283"/>
      <c r="AK38" s="748"/>
      <c r="AL38" s="1297"/>
      <c r="AM38" s="1283"/>
      <c r="AN38" s="748"/>
      <c r="AO38" s="1278"/>
      <c r="AP38" s="1273">
        <f t="shared" si="2"/>
        <v>57822</v>
      </c>
      <c r="AQ38" s="1264"/>
      <c r="AR38" s="1258"/>
      <c r="AS38" s="236"/>
      <c r="AT38" s="236"/>
    </row>
    <row r="39" spans="1:46" s="235" customFormat="1" ht="24" customHeight="1" x14ac:dyDescent="0.2">
      <c r="A39" s="1245"/>
      <c r="B39" s="1249" t="s">
        <v>571</v>
      </c>
      <c r="C39" s="1250" t="s">
        <v>1074</v>
      </c>
      <c r="D39" s="1265"/>
      <c r="E39" s="1265"/>
      <c r="F39" s="1299"/>
      <c r="G39" s="1285"/>
      <c r="H39" s="1265"/>
      <c r="I39" s="1280"/>
      <c r="J39" s="1285"/>
      <c r="K39" s="1265"/>
      <c r="L39" s="1299"/>
      <c r="M39" s="1285"/>
      <c r="N39" s="1265"/>
      <c r="O39" s="1280"/>
      <c r="P39" s="1285">
        <v>5000</v>
      </c>
      <c r="Q39" s="1265"/>
      <c r="R39" s="1299"/>
      <c r="S39" s="1285"/>
      <c r="T39" s="1265"/>
      <c r="U39" s="1280"/>
      <c r="V39" s="1285"/>
      <c r="W39" s="1265"/>
      <c r="X39" s="1299"/>
      <c r="Y39" s="1285"/>
      <c r="Z39" s="1265"/>
      <c r="AA39" s="1280"/>
      <c r="AB39" s="1285"/>
      <c r="AC39" s="1265"/>
      <c r="AD39" s="1299"/>
      <c r="AE39" s="1285"/>
      <c r="AF39" s="1265"/>
      <c r="AG39" s="1280"/>
      <c r="AH39" s="1285"/>
      <c r="AI39" s="1280"/>
      <c r="AJ39" s="1285"/>
      <c r="AK39" s="1265"/>
      <c r="AL39" s="1299"/>
      <c r="AM39" s="1285"/>
      <c r="AN39" s="1265"/>
      <c r="AO39" s="1280"/>
      <c r="AP39" s="1277">
        <f t="shared" si="2"/>
        <v>5000</v>
      </c>
      <c r="AQ39" s="1264"/>
      <c r="AR39" s="1258"/>
      <c r="AS39" s="236"/>
      <c r="AT39" s="236"/>
    </row>
    <row r="40" spans="1:46" s="235" customFormat="1" ht="24" customHeight="1" x14ac:dyDescent="0.2">
      <c r="A40" s="1245"/>
      <c r="B40" s="1249" t="s">
        <v>572</v>
      </c>
      <c r="C40" s="789" t="s">
        <v>1167</v>
      </c>
      <c r="D40" s="765"/>
      <c r="E40" s="765"/>
      <c r="F40" s="1300"/>
      <c r="G40" s="1286"/>
      <c r="H40" s="765"/>
      <c r="I40" s="1274"/>
      <c r="J40" s="1286"/>
      <c r="K40" s="765"/>
      <c r="L40" s="1300"/>
      <c r="M40" s="1286"/>
      <c r="N40" s="765"/>
      <c r="O40" s="1274"/>
      <c r="P40" s="1286">
        <v>5000</v>
      </c>
      <c r="Q40" s="765"/>
      <c r="R40" s="1300"/>
      <c r="S40" s="1286"/>
      <c r="T40" s="765"/>
      <c r="U40" s="1274"/>
      <c r="V40" s="1286"/>
      <c r="W40" s="765"/>
      <c r="X40" s="1300"/>
      <c r="Y40" s="1286"/>
      <c r="Z40" s="765"/>
      <c r="AA40" s="1274"/>
      <c r="AB40" s="1286"/>
      <c r="AC40" s="765"/>
      <c r="AD40" s="1300"/>
      <c r="AE40" s="1286"/>
      <c r="AF40" s="765"/>
      <c r="AG40" s="1274"/>
      <c r="AH40" s="1286"/>
      <c r="AI40" s="1274"/>
      <c r="AJ40" s="1286"/>
      <c r="AK40" s="765"/>
      <c r="AL40" s="1300"/>
      <c r="AM40" s="1286"/>
      <c r="AN40" s="765"/>
      <c r="AO40" s="1274"/>
      <c r="AP40" s="1269">
        <f t="shared" si="2"/>
        <v>5000</v>
      </c>
      <c r="AQ40" s="1264"/>
      <c r="AR40" s="1258"/>
      <c r="AS40" s="236"/>
      <c r="AT40" s="236"/>
    </row>
    <row r="41" spans="1:46" s="235" customFormat="1" ht="15" customHeight="1" x14ac:dyDescent="0.2">
      <c r="A41" s="1245"/>
      <c r="B41" s="1249" t="s">
        <v>573</v>
      </c>
      <c r="C41" s="781" t="s">
        <v>997</v>
      </c>
      <c r="D41" s="748"/>
      <c r="E41" s="748"/>
      <c r="F41" s="1297"/>
      <c r="G41" s="1283"/>
      <c r="H41" s="748"/>
      <c r="I41" s="1278"/>
      <c r="J41" s="1283"/>
      <c r="K41" s="748"/>
      <c r="L41" s="1297"/>
      <c r="M41" s="1283"/>
      <c r="N41" s="748"/>
      <c r="O41" s="1278"/>
      <c r="P41" s="1283"/>
      <c r="Q41" s="748"/>
      <c r="R41" s="1297"/>
      <c r="S41" s="1283">
        <v>14684</v>
      </c>
      <c r="T41" s="748"/>
      <c r="U41" s="1278"/>
      <c r="V41" s="1283"/>
      <c r="W41" s="748"/>
      <c r="X41" s="1297"/>
      <c r="Y41" s="1283"/>
      <c r="Z41" s="748"/>
      <c r="AA41" s="1278"/>
      <c r="AB41" s="1283"/>
      <c r="AC41" s="748"/>
      <c r="AD41" s="1297"/>
      <c r="AE41" s="1283"/>
      <c r="AF41" s="748"/>
      <c r="AG41" s="1278"/>
      <c r="AH41" s="1283"/>
      <c r="AI41" s="1278"/>
      <c r="AJ41" s="1283"/>
      <c r="AK41" s="748"/>
      <c r="AL41" s="1297"/>
      <c r="AM41" s="1283"/>
      <c r="AN41" s="748"/>
      <c r="AO41" s="1278"/>
      <c r="AP41" s="1273">
        <f t="shared" si="0"/>
        <v>14684</v>
      </c>
      <c r="AQ41" s="1264"/>
      <c r="AR41" s="1258"/>
      <c r="AS41" s="236"/>
      <c r="AT41" s="236"/>
    </row>
    <row r="42" spans="1:46" s="235" customFormat="1" ht="17.25" customHeight="1" x14ac:dyDescent="0.2">
      <c r="A42" s="1245"/>
      <c r="B42" s="1249" t="s">
        <v>574</v>
      </c>
      <c r="C42" s="789" t="s">
        <v>1004</v>
      </c>
      <c r="D42" s="748"/>
      <c r="E42" s="748"/>
      <c r="F42" s="1297"/>
      <c r="G42" s="1286">
        <v>2048</v>
      </c>
      <c r="H42" s="765"/>
      <c r="I42" s="1274"/>
      <c r="J42" s="1286"/>
      <c r="K42" s="765"/>
      <c r="L42" s="1300"/>
      <c r="M42" s="1286">
        <v>432</v>
      </c>
      <c r="N42" s="765"/>
      <c r="O42" s="1274"/>
      <c r="P42" s="1286">
        <v>350</v>
      </c>
      <c r="Q42" s="765"/>
      <c r="R42" s="1300"/>
      <c r="S42" s="1286"/>
      <c r="T42" s="765"/>
      <c r="U42" s="1274"/>
      <c r="V42" s="1286"/>
      <c r="W42" s="765"/>
      <c r="X42" s="1300"/>
      <c r="Y42" s="1286"/>
      <c r="Z42" s="765"/>
      <c r="AA42" s="1274"/>
      <c r="AB42" s="1286"/>
      <c r="AC42" s="765"/>
      <c r="AD42" s="1300"/>
      <c r="AE42" s="1286"/>
      <c r="AF42" s="765"/>
      <c r="AG42" s="1274"/>
      <c r="AH42" s="1286"/>
      <c r="AI42" s="1274"/>
      <c r="AJ42" s="1286"/>
      <c r="AK42" s="765"/>
      <c r="AL42" s="1300"/>
      <c r="AM42" s="1286"/>
      <c r="AN42" s="765"/>
      <c r="AO42" s="1274"/>
      <c r="AP42" s="1269">
        <f t="shared" ref="AP42:AP46" si="3">SUM(D42:AM42)</f>
        <v>2830</v>
      </c>
      <c r="AQ42" s="1264"/>
      <c r="AR42" s="1258"/>
      <c r="AS42" s="236"/>
      <c r="AT42" s="236"/>
    </row>
    <row r="43" spans="1:46" s="235" customFormat="1" ht="15" customHeight="1" x14ac:dyDescent="0.2">
      <c r="A43" s="1245"/>
      <c r="B43" s="1249" t="s">
        <v>575</v>
      </c>
      <c r="C43" s="781" t="s">
        <v>993</v>
      </c>
      <c r="D43" s="748"/>
      <c r="E43" s="748"/>
      <c r="F43" s="1297"/>
      <c r="G43" s="1283">
        <v>5000</v>
      </c>
      <c r="H43" s="748"/>
      <c r="I43" s="1278"/>
      <c r="J43" s="1283"/>
      <c r="K43" s="748"/>
      <c r="L43" s="1297"/>
      <c r="M43" s="1283">
        <v>2500</v>
      </c>
      <c r="N43" s="748"/>
      <c r="O43" s="1278"/>
      <c r="P43" s="1283"/>
      <c r="Q43" s="748"/>
      <c r="R43" s="1297"/>
      <c r="S43" s="1283">
        <v>12716</v>
      </c>
      <c r="T43" s="748"/>
      <c r="U43" s="1278"/>
      <c r="V43" s="1283"/>
      <c r="W43" s="748"/>
      <c r="X43" s="1297"/>
      <c r="Y43" s="1283"/>
      <c r="Z43" s="748"/>
      <c r="AA43" s="1278"/>
      <c r="AB43" s="1283"/>
      <c r="AC43" s="748"/>
      <c r="AD43" s="1297"/>
      <c r="AE43" s="1283"/>
      <c r="AF43" s="748"/>
      <c r="AG43" s="1278"/>
      <c r="AH43" s="1283"/>
      <c r="AI43" s="1278"/>
      <c r="AJ43" s="1283"/>
      <c r="AK43" s="748"/>
      <c r="AL43" s="1297"/>
      <c r="AM43" s="1283"/>
      <c r="AN43" s="748"/>
      <c r="AO43" s="1278"/>
      <c r="AP43" s="1273">
        <f t="shared" si="3"/>
        <v>20216</v>
      </c>
      <c r="AQ43" s="1264"/>
      <c r="AR43" s="1258"/>
      <c r="AS43" s="236"/>
      <c r="AT43" s="236"/>
    </row>
    <row r="44" spans="1:46" s="235" customFormat="1" ht="15" customHeight="1" x14ac:dyDescent="0.2">
      <c r="A44" s="1245"/>
      <c r="B44" s="1249" t="s">
        <v>627</v>
      </c>
      <c r="C44" s="781" t="s">
        <v>994</v>
      </c>
      <c r="D44" s="748"/>
      <c r="E44" s="748"/>
      <c r="F44" s="1297"/>
      <c r="G44" s="1283"/>
      <c r="H44" s="748"/>
      <c r="I44" s="1278"/>
      <c r="J44" s="1283"/>
      <c r="K44" s="748"/>
      <c r="L44" s="1297"/>
      <c r="M44" s="1283"/>
      <c r="N44" s="748"/>
      <c r="O44" s="1278"/>
      <c r="P44" s="1283"/>
      <c r="Q44" s="748"/>
      <c r="R44" s="1297"/>
      <c r="S44" s="1283">
        <v>3000</v>
      </c>
      <c r="T44" s="748"/>
      <c r="U44" s="1278"/>
      <c r="V44" s="1283"/>
      <c r="W44" s="748"/>
      <c r="X44" s="1297"/>
      <c r="Y44" s="1283"/>
      <c r="Z44" s="748"/>
      <c r="AA44" s="1278"/>
      <c r="AB44" s="1283"/>
      <c r="AC44" s="748"/>
      <c r="AD44" s="1297"/>
      <c r="AE44" s="1283"/>
      <c r="AF44" s="748"/>
      <c r="AG44" s="1278"/>
      <c r="AH44" s="1283"/>
      <c r="AI44" s="1278"/>
      <c r="AJ44" s="1283"/>
      <c r="AK44" s="748"/>
      <c r="AL44" s="1297"/>
      <c r="AM44" s="1283"/>
      <c r="AN44" s="748"/>
      <c r="AO44" s="1278"/>
      <c r="AP44" s="1273">
        <f t="shared" si="3"/>
        <v>3000</v>
      </c>
      <c r="AQ44" s="1264"/>
      <c r="AR44" s="1258"/>
      <c r="AS44" s="236"/>
      <c r="AT44" s="236"/>
    </row>
    <row r="45" spans="1:46" s="235" customFormat="1" ht="15" customHeight="1" x14ac:dyDescent="0.2">
      <c r="A45" s="1245"/>
      <c r="B45" s="1249" t="s">
        <v>628</v>
      </c>
      <c r="C45" s="781" t="s">
        <v>1071</v>
      </c>
      <c r="D45" s="748"/>
      <c r="E45" s="748"/>
      <c r="F45" s="1297"/>
      <c r="G45" s="1283"/>
      <c r="H45" s="748"/>
      <c r="I45" s="1278"/>
      <c r="J45" s="1283"/>
      <c r="K45" s="748"/>
      <c r="L45" s="1297"/>
      <c r="M45" s="1283"/>
      <c r="N45" s="748"/>
      <c r="O45" s="1278"/>
      <c r="P45" s="1283">
        <v>634</v>
      </c>
      <c r="Q45" s="748"/>
      <c r="R45" s="1297"/>
      <c r="S45" s="1283">
        <v>62787</v>
      </c>
      <c r="T45" s="748"/>
      <c r="U45" s="1278"/>
      <c r="V45" s="1283"/>
      <c r="W45" s="748"/>
      <c r="X45" s="1297"/>
      <c r="Y45" s="1283"/>
      <c r="Z45" s="748"/>
      <c r="AA45" s="1278"/>
      <c r="AB45" s="1283"/>
      <c r="AC45" s="748"/>
      <c r="AD45" s="1297"/>
      <c r="AE45" s="1283"/>
      <c r="AF45" s="748"/>
      <c r="AG45" s="1278"/>
      <c r="AH45" s="1283"/>
      <c r="AI45" s="1278"/>
      <c r="AJ45" s="1283"/>
      <c r="AK45" s="748"/>
      <c r="AL45" s="1297"/>
      <c r="AM45" s="1283"/>
      <c r="AN45" s="748"/>
      <c r="AO45" s="1278"/>
      <c r="AP45" s="1273">
        <f t="shared" si="3"/>
        <v>63421</v>
      </c>
      <c r="AQ45" s="1264"/>
      <c r="AR45" s="1258"/>
      <c r="AS45" s="236"/>
      <c r="AT45" s="236"/>
    </row>
    <row r="46" spans="1:46" s="235" customFormat="1" ht="15" customHeight="1" x14ac:dyDescent="0.2">
      <c r="A46" s="1245"/>
      <c r="B46" s="1249" t="s">
        <v>629</v>
      </c>
      <c r="C46" s="1250" t="s">
        <v>1000</v>
      </c>
      <c r="D46" s="1257">
        <v>11296</v>
      </c>
      <c r="E46" s="1257"/>
      <c r="F46" s="1301"/>
      <c r="G46" s="1289">
        <v>1445</v>
      </c>
      <c r="H46" s="1257"/>
      <c r="I46" s="1290"/>
      <c r="J46" s="1289">
        <v>2925</v>
      </c>
      <c r="K46" s="1257"/>
      <c r="L46" s="1301"/>
      <c r="M46" s="1283">
        <v>310</v>
      </c>
      <c r="N46" s="748"/>
      <c r="O46" s="1278"/>
      <c r="P46" s="1289">
        <f>15897+548</f>
        <v>16445</v>
      </c>
      <c r="Q46" s="1257"/>
      <c r="R46" s="1301"/>
      <c r="S46" s="1289"/>
      <c r="T46" s="1257"/>
      <c r="U46" s="1290"/>
      <c r="V46" s="1289"/>
      <c r="W46" s="1257"/>
      <c r="X46" s="1301"/>
      <c r="Y46" s="1281"/>
      <c r="Z46" s="1251"/>
      <c r="AA46" s="1271"/>
      <c r="AB46" s="1281"/>
      <c r="AC46" s="1251"/>
      <c r="AD46" s="1294"/>
      <c r="AE46" s="1281"/>
      <c r="AF46" s="1251"/>
      <c r="AG46" s="1271"/>
      <c r="AH46" s="1281"/>
      <c r="AI46" s="1271"/>
      <c r="AJ46" s="1281"/>
      <c r="AK46" s="1251"/>
      <c r="AL46" s="1294"/>
      <c r="AM46" s="1281"/>
      <c r="AN46" s="1251"/>
      <c r="AO46" s="1271"/>
      <c r="AP46" s="1273">
        <f t="shared" si="3"/>
        <v>32421</v>
      </c>
      <c r="AQ46" s="1264"/>
      <c r="AR46" s="1258"/>
      <c r="AS46" s="236"/>
      <c r="AT46" s="236"/>
    </row>
    <row r="47" spans="1:46" s="235" customFormat="1" ht="15" customHeight="1" x14ac:dyDescent="0.2">
      <c r="A47" s="1245"/>
      <c r="B47" s="1249" t="s">
        <v>630</v>
      </c>
      <c r="C47" s="781" t="s">
        <v>995</v>
      </c>
      <c r="D47" s="748"/>
      <c r="E47" s="748"/>
      <c r="F47" s="1297"/>
      <c r="G47" s="1283">
        <v>16884</v>
      </c>
      <c r="H47" s="748"/>
      <c r="I47" s="1278"/>
      <c r="J47" s="1283"/>
      <c r="K47" s="748"/>
      <c r="L47" s="1297"/>
      <c r="M47" s="1283">
        <v>7336</v>
      </c>
      <c r="N47" s="748"/>
      <c r="O47" s="1278"/>
      <c r="P47" s="1283"/>
      <c r="Q47" s="748"/>
      <c r="R47" s="1297"/>
      <c r="S47" s="1283">
        <v>3604</v>
      </c>
      <c r="T47" s="748"/>
      <c r="U47" s="1278"/>
      <c r="V47" s="1283"/>
      <c r="W47" s="748"/>
      <c r="X47" s="1297"/>
      <c r="Y47" s="1283"/>
      <c r="Z47" s="748"/>
      <c r="AA47" s="1278"/>
      <c r="AB47" s="1283"/>
      <c r="AC47" s="748"/>
      <c r="AD47" s="1297"/>
      <c r="AE47" s="1283"/>
      <c r="AF47" s="748"/>
      <c r="AG47" s="1278"/>
      <c r="AH47" s="1283"/>
      <c r="AI47" s="1278"/>
      <c r="AJ47" s="1283"/>
      <c r="AK47" s="748"/>
      <c r="AL47" s="1297"/>
      <c r="AM47" s="1283"/>
      <c r="AN47" s="748"/>
      <c r="AO47" s="1278"/>
      <c r="AP47" s="1273">
        <f t="shared" si="0"/>
        <v>27824</v>
      </c>
      <c r="AQ47" s="1264"/>
      <c r="AR47" s="1258"/>
      <c r="AS47" s="236"/>
      <c r="AT47" s="236"/>
    </row>
    <row r="48" spans="1:46" s="235" customFormat="1" ht="15" customHeight="1" x14ac:dyDescent="0.2">
      <c r="A48" s="1245"/>
      <c r="B48" s="1249" t="s">
        <v>116</v>
      </c>
      <c r="C48" s="781" t="s">
        <v>986</v>
      </c>
      <c r="D48" s="748"/>
      <c r="E48" s="748"/>
      <c r="F48" s="1297"/>
      <c r="G48" s="1283"/>
      <c r="H48" s="748"/>
      <c r="I48" s="1278"/>
      <c r="J48" s="1283"/>
      <c r="K48" s="748"/>
      <c r="L48" s="1297"/>
      <c r="M48" s="1283"/>
      <c r="N48" s="748"/>
      <c r="O48" s="1278"/>
      <c r="P48" s="1283"/>
      <c r="Q48" s="748"/>
      <c r="R48" s="1297"/>
      <c r="S48" s="1283"/>
      <c r="T48" s="748"/>
      <c r="U48" s="1278"/>
      <c r="V48" s="1283">
        <f>mc.pe.átad!D22</f>
        <v>5850</v>
      </c>
      <c r="W48" s="748"/>
      <c r="X48" s="1297"/>
      <c r="Y48" s="1283">
        <v>53735</v>
      </c>
      <c r="Z48" s="748"/>
      <c r="AA48" s="1278"/>
      <c r="AB48" s="1283">
        <f>mc.pe.átad!D61</f>
        <v>116758</v>
      </c>
      <c r="AC48" s="748"/>
      <c r="AD48" s="1297"/>
      <c r="AE48" s="1283">
        <f>mc.pe.átad!E61-AE52</f>
        <v>158982</v>
      </c>
      <c r="AF48" s="748"/>
      <c r="AG48" s="1278"/>
      <c r="AH48" s="1283"/>
      <c r="AI48" s="1278"/>
      <c r="AJ48" s="1283"/>
      <c r="AK48" s="748"/>
      <c r="AL48" s="1297"/>
      <c r="AM48" s="1283"/>
      <c r="AN48" s="748"/>
      <c r="AO48" s="1278"/>
      <c r="AP48" s="1273">
        <f t="shared" si="0"/>
        <v>335325</v>
      </c>
      <c r="AQ48" s="1258"/>
      <c r="AR48" s="1258"/>
      <c r="AS48" s="236"/>
      <c r="AT48" s="236"/>
    </row>
    <row r="49" spans="1:46" s="235" customFormat="1" ht="15" customHeight="1" x14ac:dyDescent="0.2">
      <c r="A49" s="1245"/>
      <c r="B49" s="1249" t="s">
        <v>655</v>
      </c>
      <c r="C49" s="781" t="s">
        <v>985</v>
      </c>
      <c r="D49" s="748"/>
      <c r="E49" s="748"/>
      <c r="F49" s="1297"/>
      <c r="G49" s="1283"/>
      <c r="H49" s="748"/>
      <c r="I49" s="1278"/>
      <c r="J49" s="1283"/>
      <c r="K49" s="748"/>
      <c r="L49" s="1297"/>
      <c r="M49" s="1283"/>
      <c r="N49" s="748"/>
      <c r="O49" s="1278"/>
      <c r="P49" s="1283"/>
      <c r="Q49" s="748"/>
      <c r="R49" s="1297"/>
      <c r="S49" s="1283"/>
      <c r="T49" s="748"/>
      <c r="U49" s="1278"/>
      <c r="V49" s="1283"/>
      <c r="W49" s="748"/>
      <c r="X49" s="1297"/>
      <c r="Y49" s="1283"/>
      <c r="Z49" s="748"/>
      <c r="AA49" s="1278"/>
      <c r="AB49" s="1283"/>
      <c r="AC49" s="748"/>
      <c r="AD49" s="1297"/>
      <c r="AE49" s="1283"/>
      <c r="AF49" s="748"/>
      <c r="AG49" s="1278"/>
      <c r="AH49" s="1283"/>
      <c r="AI49" s="1278"/>
      <c r="AJ49" s="1283"/>
      <c r="AK49" s="748"/>
      <c r="AL49" s="1297"/>
      <c r="AM49" s="1283"/>
      <c r="AN49" s="748"/>
      <c r="AO49" s="1278"/>
      <c r="AP49" s="1273">
        <f t="shared" si="0"/>
        <v>0</v>
      </c>
      <c r="AQ49" s="1259"/>
      <c r="AR49" s="1258"/>
      <c r="AS49" s="236"/>
      <c r="AT49" s="236"/>
    </row>
    <row r="50" spans="1:46" s="235" customFormat="1" ht="15" customHeight="1" x14ac:dyDescent="0.2">
      <c r="A50" s="1245"/>
      <c r="B50" s="1249" t="s">
        <v>656</v>
      </c>
      <c r="C50" s="786" t="s">
        <v>1008</v>
      </c>
      <c r="D50" s="765"/>
      <c r="E50" s="765"/>
      <c r="F50" s="1300"/>
      <c r="G50" s="1286"/>
      <c r="H50" s="765"/>
      <c r="I50" s="1274"/>
      <c r="J50" s="1286"/>
      <c r="K50" s="765"/>
      <c r="L50" s="1300"/>
      <c r="M50" s="1286"/>
      <c r="N50" s="765"/>
      <c r="O50" s="1274"/>
      <c r="P50" s="1286"/>
      <c r="Q50" s="765"/>
      <c r="R50" s="1300"/>
      <c r="S50" s="1286">
        <f>2515+1134</f>
        <v>3649</v>
      </c>
      <c r="T50" s="765"/>
      <c r="U50" s="1274"/>
      <c r="V50" s="1286"/>
      <c r="W50" s="765"/>
      <c r="X50" s="1300"/>
      <c r="Y50" s="1286"/>
      <c r="Z50" s="765"/>
      <c r="AA50" s="1274"/>
      <c r="AB50" s="1286"/>
      <c r="AC50" s="765"/>
      <c r="AD50" s="1300"/>
      <c r="AE50" s="1286"/>
      <c r="AF50" s="765"/>
      <c r="AG50" s="1274"/>
      <c r="AH50" s="1286"/>
      <c r="AI50" s="1274"/>
      <c r="AJ50" s="1286"/>
      <c r="AK50" s="765"/>
      <c r="AL50" s="1300"/>
      <c r="AM50" s="1286"/>
      <c r="AN50" s="765"/>
      <c r="AO50" s="1274"/>
      <c r="AP50" s="1269">
        <f t="shared" si="0"/>
        <v>3649</v>
      </c>
      <c r="AQ50" s="747"/>
      <c r="AR50" s="1258"/>
      <c r="AS50" s="236"/>
      <c r="AT50" s="236"/>
    </row>
    <row r="51" spans="1:46" s="235" customFormat="1" ht="15" customHeight="1" x14ac:dyDescent="0.2">
      <c r="A51" s="1245"/>
      <c r="B51" s="1249" t="s">
        <v>119</v>
      </c>
      <c r="C51" s="786" t="s">
        <v>1009</v>
      </c>
      <c r="D51" s="765"/>
      <c r="E51" s="765"/>
      <c r="F51" s="1300"/>
      <c r="G51" s="1286"/>
      <c r="H51" s="765"/>
      <c r="I51" s="1274"/>
      <c r="J51" s="1286"/>
      <c r="K51" s="765"/>
      <c r="L51" s="1300"/>
      <c r="M51" s="1286"/>
      <c r="N51" s="765"/>
      <c r="O51" s="1274"/>
      <c r="P51" s="1286"/>
      <c r="Q51" s="765"/>
      <c r="R51" s="1300"/>
      <c r="S51" s="1286"/>
      <c r="T51" s="765"/>
      <c r="U51" s="1274"/>
      <c r="V51" s="1286"/>
      <c r="W51" s="765"/>
      <c r="X51" s="1300"/>
      <c r="Y51" s="1286"/>
      <c r="Z51" s="765"/>
      <c r="AA51" s="1274"/>
      <c r="AB51" s="1286"/>
      <c r="AC51" s="765"/>
      <c r="AD51" s="1300"/>
      <c r="AE51" s="1286"/>
      <c r="AF51" s="765"/>
      <c r="AG51" s="1274"/>
      <c r="AH51" s="1286">
        <v>0</v>
      </c>
      <c r="AI51" s="1274"/>
      <c r="AJ51" s="1286"/>
      <c r="AK51" s="765"/>
      <c r="AL51" s="1300"/>
      <c r="AM51" s="1286"/>
      <c r="AN51" s="765"/>
      <c r="AO51" s="1274"/>
      <c r="AP51" s="1269">
        <f t="shared" si="0"/>
        <v>0</v>
      </c>
      <c r="AQ51" s="747"/>
      <c r="AR51" s="1258"/>
      <c r="AS51" s="236"/>
      <c r="AT51" s="236"/>
    </row>
    <row r="52" spans="1:46" s="235" customFormat="1" ht="15" customHeight="1" x14ac:dyDescent="0.2">
      <c r="A52" s="1245"/>
      <c r="B52" s="1249" t="s">
        <v>120</v>
      </c>
      <c r="C52" s="786" t="s">
        <v>1263</v>
      </c>
      <c r="D52" s="765"/>
      <c r="E52" s="765"/>
      <c r="F52" s="1300"/>
      <c r="G52" s="1286">
        <v>0</v>
      </c>
      <c r="H52" s="765"/>
      <c r="I52" s="1274"/>
      <c r="J52" s="1286"/>
      <c r="K52" s="765"/>
      <c r="L52" s="1300"/>
      <c r="M52" s="1286">
        <v>0</v>
      </c>
      <c r="N52" s="765"/>
      <c r="O52" s="1274"/>
      <c r="P52" s="1286"/>
      <c r="Q52" s="765"/>
      <c r="R52" s="1300"/>
      <c r="S52" s="1286">
        <v>0</v>
      </c>
      <c r="T52" s="765"/>
      <c r="U52" s="1274"/>
      <c r="V52" s="1286"/>
      <c r="W52" s="765"/>
      <c r="X52" s="1300"/>
      <c r="Y52" s="1286"/>
      <c r="Z52" s="765"/>
      <c r="AA52" s="1274"/>
      <c r="AB52" s="1286"/>
      <c r="AC52" s="765"/>
      <c r="AD52" s="1300"/>
      <c r="AE52" s="1286">
        <v>16674</v>
      </c>
      <c r="AF52" s="765"/>
      <c r="AG52" s="1274"/>
      <c r="AH52" s="1286"/>
      <c r="AI52" s="1274"/>
      <c r="AJ52" s="1286"/>
      <c r="AK52" s="765"/>
      <c r="AL52" s="1300"/>
      <c r="AM52" s="1286"/>
      <c r="AN52" s="765"/>
      <c r="AO52" s="1274"/>
      <c r="AP52" s="1269">
        <f t="shared" si="0"/>
        <v>16674</v>
      </c>
      <c r="AQ52" s="747"/>
      <c r="AR52" s="1258"/>
      <c r="AS52" s="236"/>
      <c r="AT52" s="236"/>
    </row>
    <row r="53" spans="1:46" s="235" customFormat="1" ht="15" customHeight="1" x14ac:dyDescent="0.2">
      <c r="A53" s="1245"/>
      <c r="B53" s="1249" t="s">
        <v>121</v>
      </c>
      <c r="C53" s="786" t="s">
        <v>1010</v>
      </c>
      <c r="D53" s="765"/>
      <c r="E53" s="765"/>
      <c r="F53" s="1300"/>
      <c r="G53" s="1286"/>
      <c r="H53" s="765"/>
      <c r="I53" s="1274"/>
      <c r="J53" s="1286"/>
      <c r="K53" s="765"/>
      <c r="L53" s="1300"/>
      <c r="M53" s="1286"/>
      <c r="N53" s="765"/>
      <c r="O53" s="1274"/>
      <c r="P53" s="1286">
        <v>13361</v>
      </c>
      <c r="Q53" s="765"/>
      <c r="R53" s="1300"/>
      <c r="S53" s="1286"/>
      <c r="T53" s="765"/>
      <c r="U53" s="1274"/>
      <c r="V53" s="1286"/>
      <c r="W53" s="765"/>
      <c r="X53" s="1300"/>
      <c r="Y53" s="1286"/>
      <c r="Z53" s="765"/>
      <c r="AA53" s="1274"/>
      <c r="AB53" s="1286"/>
      <c r="AC53" s="765"/>
      <c r="AD53" s="1300"/>
      <c r="AE53" s="1286"/>
      <c r="AF53" s="765"/>
      <c r="AG53" s="1274"/>
      <c r="AH53" s="1286"/>
      <c r="AI53" s="1274"/>
      <c r="AJ53" s="1286"/>
      <c r="AK53" s="765"/>
      <c r="AL53" s="1300"/>
      <c r="AM53" s="1286"/>
      <c r="AN53" s="765"/>
      <c r="AO53" s="1274"/>
      <c r="AP53" s="1269">
        <f t="shared" si="0"/>
        <v>13361</v>
      </c>
      <c r="AQ53" s="747"/>
      <c r="AR53" s="1258"/>
      <c r="AS53" s="236"/>
      <c r="AT53" s="236"/>
    </row>
    <row r="54" spans="1:46" s="235" customFormat="1" ht="30" customHeight="1" x14ac:dyDescent="0.2">
      <c r="A54" s="1245"/>
      <c r="B54" s="1249" t="s">
        <v>124</v>
      </c>
      <c r="C54" s="786" t="s">
        <v>1256</v>
      </c>
      <c r="D54" s="765"/>
      <c r="E54" s="765"/>
      <c r="F54" s="1300"/>
      <c r="G54" s="1286"/>
      <c r="H54" s="765"/>
      <c r="I54" s="1274"/>
      <c r="J54" s="1286"/>
      <c r="K54" s="765"/>
      <c r="L54" s="1300"/>
      <c r="M54" s="1286"/>
      <c r="N54" s="765"/>
      <c r="O54" s="1274"/>
      <c r="P54" s="1286">
        <v>82266</v>
      </c>
      <c r="Q54" s="765"/>
      <c r="R54" s="1300"/>
      <c r="S54" s="1286"/>
      <c r="T54" s="765"/>
      <c r="U54" s="1274"/>
      <c r="V54" s="1286"/>
      <c r="W54" s="765"/>
      <c r="X54" s="1300"/>
      <c r="Y54" s="1286"/>
      <c r="Z54" s="765"/>
      <c r="AA54" s="1274"/>
      <c r="AB54" s="1286"/>
      <c r="AC54" s="765"/>
      <c r="AD54" s="1300"/>
      <c r="AE54" s="1286"/>
      <c r="AF54" s="765"/>
      <c r="AG54" s="1274"/>
      <c r="AH54" s="1286"/>
      <c r="AI54" s="1274"/>
      <c r="AJ54" s="1286"/>
      <c r="AK54" s="765"/>
      <c r="AL54" s="1300"/>
      <c r="AM54" s="1286"/>
      <c r="AN54" s="765"/>
      <c r="AO54" s="1274"/>
      <c r="AP54" s="1269">
        <f t="shared" si="0"/>
        <v>82266</v>
      </c>
      <c r="AQ54" s="747"/>
      <c r="AR54" s="1258"/>
      <c r="AS54" s="236"/>
      <c r="AT54" s="236"/>
    </row>
    <row r="55" spans="1:46" s="235" customFormat="1" ht="15" customHeight="1" x14ac:dyDescent="0.2">
      <c r="A55" s="1245"/>
      <c r="B55" s="1249" t="s">
        <v>127</v>
      </c>
      <c r="C55" s="786" t="s">
        <v>1011</v>
      </c>
      <c r="D55" s="765"/>
      <c r="E55" s="765"/>
      <c r="F55" s="1300"/>
      <c r="G55" s="1286">
        <v>10846</v>
      </c>
      <c r="H55" s="765"/>
      <c r="I55" s="1274"/>
      <c r="J55" s="1286"/>
      <c r="K55" s="765"/>
      <c r="L55" s="1300"/>
      <c r="M55" s="1286">
        <v>2212</v>
      </c>
      <c r="N55" s="765"/>
      <c r="O55" s="1274"/>
      <c r="P55" s="1286">
        <v>22521</v>
      </c>
      <c r="Q55" s="765"/>
      <c r="R55" s="1300"/>
      <c r="S55" s="1286">
        <v>93210</v>
      </c>
      <c r="T55" s="765"/>
      <c r="U55" s="1274"/>
      <c r="V55" s="1286"/>
      <c r="W55" s="765"/>
      <c r="X55" s="1300"/>
      <c r="Y55" s="1286"/>
      <c r="Z55" s="765"/>
      <c r="AA55" s="1274"/>
      <c r="AB55" s="1286"/>
      <c r="AC55" s="765"/>
      <c r="AD55" s="1300"/>
      <c r="AE55" s="1286"/>
      <c r="AF55" s="765"/>
      <c r="AG55" s="1274"/>
      <c r="AH55" s="1286">
        <v>0</v>
      </c>
      <c r="AI55" s="1274"/>
      <c r="AJ55" s="1286"/>
      <c r="AK55" s="765"/>
      <c r="AL55" s="1300"/>
      <c r="AM55" s="1286"/>
      <c r="AN55" s="765"/>
      <c r="AO55" s="1274"/>
      <c r="AP55" s="1269">
        <f t="shared" si="0"/>
        <v>128789</v>
      </c>
      <c r="AQ55" s="747"/>
      <c r="AR55" s="1258"/>
      <c r="AS55" s="236"/>
      <c r="AT55" s="236"/>
    </row>
    <row r="56" spans="1:46" s="235" customFormat="1" ht="21.75" customHeight="1" x14ac:dyDescent="0.2">
      <c r="A56" s="1245"/>
      <c r="B56" s="1249" t="s">
        <v>128</v>
      </c>
      <c r="C56" s="786" t="s">
        <v>1119</v>
      </c>
      <c r="D56" s="765"/>
      <c r="E56" s="765"/>
      <c r="F56" s="1300"/>
      <c r="G56" s="1286"/>
      <c r="H56" s="765"/>
      <c r="I56" s="1274"/>
      <c r="J56" s="1286"/>
      <c r="K56" s="765"/>
      <c r="L56" s="1300"/>
      <c r="M56" s="1286"/>
      <c r="N56" s="765"/>
      <c r="O56" s="1274"/>
      <c r="P56" s="1286">
        <v>294</v>
      </c>
      <c r="Q56" s="765"/>
      <c r="R56" s="1300"/>
      <c r="S56" s="1286"/>
      <c r="T56" s="765"/>
      <c r="U56" s="1274"/>
      <c r="V56" s="1286"/>
      <c r="W56" s="765"/>
      <c r="X56" s="1300"/>
      <c r="Y56" s="1286"/>
      <c r="Z56" s="765"/>
      <c r="AA56" s="1274"/>
      <c r="AB56" s="1286"/>
      <c r="AC56" s="765"/>
      <c r="AD56" s="1300"/>
      <c r="AE56" s="1286"/>
      <c r="AF56" s="765"/>
      <c r="AG56" s="1274"/>
      <c r="AH56" s="1286"/>
      <c r="AI56" s="1274"/>
      <c r="AJ56" s="1286"/>
      <c r="AK56" s="765"/>
      <c r="AL56" s="1300"/>
      <c r="AM56" s="1286"/>
      <c r="AN56" s="765"/>
      <c r="AO56" s="1274"/>
      <c r="AP56" s="1269">
        <f t="shared" si="0"/>
        <v>294</v>
      </c>
      <c r="AQ56" s="747"/>
      <c r="AR56" s="1258"/>
      <c r="AS56" s="236"/>
      <c r="AT56" s="236"/>
    </row>
    <row r="57" spans="1:46" s="235" customFormat="1" ht="15" customHeight="1" x14ac:dyDescent="0.2">
      <c r="A57" s="1245"/>
      <c r="B57" s="1249" t="s">
        <v>129</v>
      </c>
      <c r="C57" s="786" t="s">
        <v>1120</v>
      </c>
      <c r="D57" s="765"/>
      <c r="E57" s="765"/>
      <c r="F57" s="1300"/>
      <c r="G57" s="1286"/>
      <c r="H57" s="765"/>
      <c r="I57" s="1274"/>
      <c r="J57" s="1286"/>
      <c r="K57" s="765"/>
      <c r="L57" s="1300"/>
      <c r="M57" s="1286"/>
      <c r="N57" s="765"/>
      <c r="O57" s="1274"/>
      <c r="P57" s="1286"/>
      <c r="Q57" s="765"/>
      <c r="R57" s="1300"/>
      <c r="S57" s="1286">
        <v>2</v>
      </c>
      <c r="T57" s="765"/>
      <c r="U57" s="1274"/>
      <c r="V57" s="1286"/>
      <c r="W57" s="765"/>
      <c r="X57" s="1300"/>
      <c r="Y57" s="1286"/>
      <c r="Z57" s="765"/>
      <c r="AA57" s="1274"/>
      <c r="AB57" s="1286"/>
      <c r="AC57" s="765"/>
      <c r="AD57" s="1300"/>
      <c r="AE57" s="1286"/>
      <c r="AF57" s="765"/>
      <c r="AG57" s="1274"/>
      <c r="AH57" s="1286"/>
      <c r="AI57" s="1274"/>
      <c r="AJ57" s="1286"/>
      <c r="AK57" s="765"/>
      <c r="AL57" s="1300"/>
      <c r="AM57" s="1286"/>
      <c r="AN57" s="765"/>
      <c r="AO57" s="1274"/>
      <c r="AP57" s="1269">
        <f t="shared" si="0"/>
        <v>2</v>
      </c>
      <c r="AQ57" s="747"/>
      <c r="AR57" s="1258"/>
      <c r="AS57" s="236"/>
      <c r="AT57" s="236"/>
    </row>
    <row r="58" spans="1:46" s="235" customFormat="1" ht="15" customHeight="1" x14ac:dyDescent="0.2">
      <c r="A58" s="1245"/>
      <c r="B58" s="1249" t="s">
        <v>130</v>
      </c>
      <c r="C58" s="786" t="s">
        <v>1121</v>
      </c>
      <c r="D58" s="765"/>
      <c r="E58" s="765"/>
      <c r="F58" s="1300"/>
      <c r="G58" s="1286"/>
      <c r="H58" s="765"/>
      <c r="I58" s="1274"/>
      <c r="J58" s="1286"/>
      <c r="K58" s="765"/>
      <c r="L58" s="1300"/>
      <c r="M58" s="1286"/>
      <c r="N58" s="765"/>
      <c r="O58" s="1274"/>
      <c r="P58" s="1286"/>
      <c r="Q58" s="765"/>
      <c r="R58" s="1300"/>
      <c r="S58" s="1286">
        <v>2450</v>
      </c>
      <c r="T58" s="765"/>
      <c r="U58" s="1274"/>
      <c r="V58" s="1286"/>
      <c r="W58" s="765"/>
      <c r="X58" s="1300"/>
      <c r="Y58" s="1286"/>
      <c r="Z58" s="765"/>
      <c r="AA58" s="1274"/>
      <c r="AB58" s="1286"/>
      <c r="AC58" s="765"/>
      <c r="AD58" s="1300"/>
      <c r="AE58" s="1286"/>
      <c r="AF58" s="765"/>
      <c r="AG58" s="1274"/>
      <c r="AH58" s="1286"/>
      <c r="AI58" s="1274"/>
      <c r="AJ58" s="1286"/>
      <c r="AK58" s="765"/>
      <c r="AL58" s="1300"/>
      <c r="AM58" s="1286"/>
      <c r="AN58" s="765"/>
      <c r="AO58" s="1274"/>
      <c r="AP58" s="1269">
        <f t="shared" si="0"/>
        <v>2450</v>
      </c>
      <c r="AQ58" s="747"/>
      <c r="AR58" s="1258"/>
      <c r="AS58" s="236"/>
      <c r="AT58" s="236"/>
    </row>
    <row r="59" spans="1:46" s="235" customFormat="1" ht="21" customHeight="1" x14ac:dyDescent="0.2">
      <c r="A59" s="1245"/>
      <c r="B59" s="1249" t="s">
        <v>133</v>
      </c>
      <c r="C59" s="786" t="s">
        <v>1277</v>
      </c>
      <c r="D59" s="765"/>
      <c r="E59" s="765"/>
      <c r="F59" s="1300"/>
      <c r="G59" s="1286"/>
      <c r="H59" s="765"/>
      <c r="I59" s="1274"/>
      <c r="J59" s="1286"/>
      <c r="K59" s="765"/>
      <c r="L59" s="1300"/>
      <c r="M59" s="1286"/>
      <c r="N59" s="765"/>
      <c r="O59" s="1274"/>
      <c r="P59" s="1286"/>
      <c r="Q59" s="765"/>
      <c r="R59" s="1300"/>
      <c r="S59" s="1286">
        <v>0</v>
      </c>
      <c r="T59" s="765"/>
      <c r="U59" s="1274"/>
      <c r="V59" s="1286"/>
      <c r="W59" s="765"/>
      <c r="X59" s="1300"/>
      <c r="Y59" s="1286"/>
      <c r="Z59" s="765"/>
      <c r="AA59" s="1274"/>
      <c r="AB59" s="1286"/>
      <c r="AC59" s="765"/>
      <c r="AD59" s="1300"/>
      <c r="AE59" s="1286"/>
      <c r="AF59" s="765"/>
      <c r="AG59" s="1274"/>
      <c r="AH59" s="1286"/>
      <c r="AI59" s="1274"/>
      <c r="AJ59" s="1286"/>
      <c r="AK59" s="765"/>
      <c r="AL59" s="1300"/>
      <c r="AM59" s="1286"/>
      <c r="AN59" s="765"/>
      <c r="AO59" s="1274"/>
      <c r="AP59" s="1269">
        <f t="shared" si="0"/>
        <v>0</v>
      </c>
      <c r="AQ59" s="747"/>
      <c r="AR59" s="1258"/>
      <c r="AS59" s="236"/>
      <c r="AT59" s="236"/>
    </row>
    <row r="60" spans="1:46" s="235" customFormat="1" ht="21" customHeight="1" x14ac:dyDescent="0.2">
      <c r="A60" s="1245"/>
      <c r="B60" s="1249" t="s">
        <v>136</v>
      </c>
      <c r="C60" s="786" t="s">
        <v>1319</v>
      </c>
      <c r="D60" s="765"/>
      <c r="E60" s="765"/>
      <c r="F60" s="1300"/>
      <c r="G60" s="1286"/>
      <c r="H60" s="765"/>
      <c r="I60" s="1274"/>
      <c r="J60" s="1286"/>
      <c r="K60" s="765"/>
      <c r="L60" s="1300"/>
      <c r="M60" s="1286"/>
      <c r="N60" s="765"/>
      <c r="O60" s="1274"/>
      <c r="P60" s="1286"/>
      <c r="Q60" s="765"/>
      <c r="R60" s="1300"/>
      <c r="S60" s="1286">
        <v>2540</v>
      </c>
      <c r="T60" s="765"/>
      <c r="U60" s="1274"/>
      <c r="V60" s="1286"/>
      <c r="W60" s="765"/>
      <c r="X60" s="1300"/>
      <c r="Y60" s="1286"/>
      <c r="Z60" s="765"/>
      <c r="AA60" s="1274"/>
      <c r="AB60" s="1286"/>
      <c r="AC60" s="765"/>
      <c r="AD60" s="1300"/>
      <c r="AE60" s="1286"/>
      <c r="AF60" s="765"/>
      <c r="AG60" s="1274"/>
      <c r="AH60" s="1286"/>
      <c r="AI60" s="1274"/>
      <c r="AJ60" s="1286"/>
      <c r="AK60" s="765"/>
      <c r="AL60" s="1300"/>
      <c r="AM60" s="1286"/>
      <c r="AN60" s="765"/>
      <c r="AO60" s="1274"/>
      <c r="AP60" s="1269">
        <f t="shared" si="0"/>
        <v>2540</v>
      </c>
      <c r="AQ60" s="747"/>
      <c r="AR60" s="1258"/>
      <c r="AS60" s="236"/>
      <c r="AT60" s="236"/>
    </row>
    <row r="61" spans="1:46" s="235" customFormat="1" ht="15" customHeight="1" x14ac:dyDescent="0.2">
      <c r="A61" s="1245"/>
      <c r="B61" s="1249" t="s">
        <v>139</v>
      </c>
      <c r="C61" s="786" t="s">
        <v>1153</v>
      </c>
      <c r="D61" s="765"/>
      <c r="E61" s="765"/>
      <c r="F61" s="1300"/>
      <c r="G61" s="1286"/>
      <c r="H61" s="765"/>
      <c r="I61" s="1274"/>
      <c r="J61" s="1286"/>
      <c r="K61" s="765"/>
      <c r="L61" s="1300"/>
      <c r="M61" s="1286"/>
      <c r="N61" s="765"/>
      <c r="O61" s="1274"/>
      <c r="P61" s="1286">
        <v>373</v>
      </c>
      <c r="Q61" s="765"/>
      <c r="R61" s="1300"/>
      <c r="S61" s="1286"/>
      <c r="T61" s="765"/>
      <c r="U61" s="1274"/>
      <c r="V61" s="1286"/>
      <c r="W61" s="765"/>
      <c r="X61" s="1300"/>
      <c r="Y61" s="1286"/>
      <c r="Z61" s="765"/>
      <c r="AA61" s="1274"/>
      <c r="AB61" s="1286"/>
      <c r="AC61" s="765"/>
      <c r="AD61" s="1300"/>
      <c r="AE61" s="1286"/>
      <c r="AF61" s="765"/>
      <c r="AG61" s="1274"/>
      <c r="AH61" s="1286"/>
      <c r="AI61" s="1274"/>
      <c r="AJ61" s="1286"/>
      <c r="AK61" s="765"/>
      <c r="AL61" s="1300"/>
      <c r="AM61" s="1286"/>
      <c r="AN61" s="765"/>
      <c r="AO61" s="1274"/>
      <c r="AP61" s="1269">
        <f t="shared" si="0"/>
        <v>373</v>
      </c>
      <c r="AQ61" s="747"/>
      <c r="AR61" s="1258"/>
      <c r="AS61" s="236"/>
      <c r="AT61" s="236"/>
    </row>
    <row r="62" spans="1:46" s="235" customFormat="1" ht="15" customHeight="1" x14ac:dyDescent="0.2">
      <c r="A62" s="1245"/>
      <c r="B62" s="1249" t="s">
        <v>140</v>
      </c>
      <c r="C62" s="786" t="s">
        <v>1190</v>
      </c>
      <c r="D62" s="765"/>
      <c r="E62" s="765"/>
      <c r="F62" s="1300"/>
      <c r="G62" s="1286"/>
      <c r="H62" s="765"/>
      <c r="I62" s="1274"/>
      <c r="J62" s="1286"/>
      <c r="K62" s="765"/>
      <c r="L62" s="1300"/>
      <c r="M62" s="1286"/>
      <c r="N62" s="765"/>
      <c r="O62" s="1274"/>
      <c r="P62" s="1286"/>
      <c r="Q62" s="765"/>
      <c r="R62" s="1300"/>
      <c r="S62" s="1286">
        <v>3351</v>
      </c>
      <c r="T62" s="765"/>
      <c r="U62" s="1274"/>
      <c r="V62" s="1286"/>
      <c r="W62" s="765"/>
      <c r="X62" s="1300"/>
      <c r="Y62" s="1286"/>
      <c r="Z62" s="765"/>
      <c r="AA62" s="1274"/>
      <c r="AB62" s="1286"/>
      <c r="AC62" s="765"/>
      <c r="AD62" s="1300"/>
      <c r="AE62" s="1286"/>
      <c r="AF62" s="765"/>
      <c r="AG62" s="1274"/>
      <c r="AH62" s="1286"/>
      <c r="AI62" s="1274"/>
      <c r="AJ62" s="1286"/>
      <c r="AK62" s="765"/>
      <c r="AL62" s="1300"/>
      <c r="AM62" s="1286"/>
      <c r="AN62" s="765"/>
      <c r="AO62" s="1274"/>
      <c r="AP62" s="1269">
        <f t="shared" si="0"/>
        <v>3351</v>
      </c>
      <c r="AQ62" s="747"/>
      <c r="AR62" s="1258"/>
      <c r="AS62" s="236"/>
      <c r="AT62" s="236"/>
    </row>
    <row r="63" spans="1:46" s="235" customFormat="1" ht="15" customHeight="1" x14ac:dyDescent="0.2">
      <c r="A63" s="1245"/>
      <c r="B63" s="1249" t="s">
        <v>143</v>
      </c>
      <c r="C63" s="786" t="s">
        <v>1320</v>
      </c>
      <c r="D63" s="765"/>
      <c r="E63" s="765"/>
      <c r="F63" s="1300"/>
      <c r="G63" s="1286"/>
      <c r="H63" s="765"/>
      <c r="I63" s="1274"/>
      <c r="J63" s="1286"/>
      <c r="K63" s="765"/>
      <c r="L63" s="1300"/>
      <c r="M63" s="1286"/>
      <c r="N63" s="765"/>
      <c r="O63" s="1274"/>
      <c r="P63" s="1286">
        <v>1116</v>
      </c>
      <c r="Q63" s="765"/>
      <c r="R63" s="1300"/>
      <c r="S63" s="1286"/>
      <c r="T63" s="765"/>
      <c r="U63" s="1274"/>
      <c r="V63" s="1286"/>
      <c r="W63" s="765"/>
      <c r="X63" s="1300"/>
      <c r="Y63" s="1286"/>
      <c r="Z63" s="765"/>
      <c r="AA63" s="1274"/>
      <c r="AB63" s="1286"/>
      <c r="AC63" s="765"/>
      <c r="AD63" s="1300"/>
      <c r="AE63" s="1286"/>
      <c r="AF63" s="765"/>
      <c r="AG63" s="1274"/>
      <c r="AH63" s="1286"/>
      <c r="AI63" s="1274"/>
      <c r="AJ63" s="1286"/>
      <c r="AK63" s="765"/>
      <c r="AL63" s="1300"/>
      <c r="AM63" s="1286"/>
      <c r="AN63" s="765"/>
      <c r="AO63" s="1274"/>
      <c r="AP63" s="1269">
        <f t="shared" si="0"/>
        <v>1116</v>
      </c>
      <c r="AQ63" s="747"/>
      <c r="AR63" s="1258"/>
      <c r="AS63" s="236"/>
      <c r="AT63" s="236"/>
    </row>
    <row r="64" spans="1:46" s="235" customFormat="1" ht="15" customHeight="1" x14ac:dyDescent="0.2">
      <c r="A64" s="1245"/>
      <c r="B64" s="1249"/>
      <c r="C64" s="786"/>
      <c r="D64" s="765"/>
      <c r="E64" s="765"/>
      <c r="F64" s="1300"/>
      <c r="G64" s="1286"/>
      <c r="H64" s="765"/>
      <c r="I64" s="1274"/>
      <c r="J64" s="1286"/>
      <c r="K64" s="765"/>
      <c r="L64" s="1300"/>
      <c r="M64" s="1286"/>
      <c r="N64" s="765"/>
      <c r="O64" s="1274"/>
      <c r="P64" s="1286"/>
      <c r="Q64" s="765"/>
      <c r="R64" s="1300"/>
      <c r="S64" s="1286"/>
      <c r="T64" s="765"/>
      <c r="U64" s="1274"/>
      <c r="V64" s="1286"/>
      <c r="W64" s="765"/>
      <c r="X64" s="1300"/>
      <c r="Y64" s="1286"/>
      <c r="Z64" s="765"/>
      <c r="AA64" s="1274"/>
      <c r="AB64" s="1286"/>
      <c r="AC64" s="765"/>
      <c r="AD64" s="1300"/>
      <c r="AE64" s="1286"/>
      <c r="AF64" s="765"/>
      <c r="AG64" s="1274"/>
      <c r="AH64" s="1286"/>
      <c r="AI64" s="1274"/>
      <c r="AJ64" s="1286"/>
      <c r="AK64" s="765"/>
      <c r="AL64" s="1300"/>
      <c r="AM64" s="1286"/>
      <c r="AN64" s="765"/>
      <c r="AO64" s="1274"/>
      <c r="AP64" s="1269"/>
      <c r="AQ64" s="747"/>
      <c r="AR64" s="1258"/>
      <c r="AS64" s="236"/>
      <c r="AT64" s="236"/>
    </row>
    <row r="65" spans="1:46" s="235" customFormat="1" ht="15" customHeight="1" x14ac:dyDescent="0.2">
      <c r="A65" s="1245"/>
      <c r="B65" s="1249"/>
      <c r="C65" s="786"/>
      <c r="D65" s="765"/>
      <c r="E65" s="765"/>
      <c r="F65" s="1300"/>
      <c r="G65" s="1286"/>
      <c r="H65" s="765"/>
      <c r="I65" s="1274"/>
      <c r="J65" s="1286"/>
      <c r="K65" s="765"/>
      <c r="L65" s="1300"/>
      <c r="M65" s="1286"/>
      <c r="N65" s="765"/>
      <c r="O65" s="1274"/>
      <c r="P65" s="1286"/>
      <c r="Q65" s="765"/>
      <c r="R65" s="1300"/>
      <c r="S65" s="1286"/>
      <c r="T65" s="765"/>
      <c r="U65" s="1274"/>
      <c r="V65" s="1286"/>
      <c r="W65" s="765"/>
      <c r="X65" s="1300"/>
      <c r="Y65" s="1286"/>
      <c r="Z65" s="765"/>
      <c r="AA65" s="1274"/>
      <c r="AB65" s="1286"/>
      <c r="AC65" s="765"/>
      <c r="AD65" s="1300"/>
      <c r="AE65" s="1286"/>
      <c r="AF65" s="765"/>
      <c r="AG65" s="1274"/>
      <c r="AH65" s="1286"/>
      <c r="AI65" s="1274"/>
      <c r="AJ65" s="1286"/>
      <c r="AK65" s="765"/>
      <c r="AL65" s="1300"/>
      <c r="AM65" s="1286"/>
      <c r="AN65" s="765"/>
      <c r="AO65" s="1274"/>
      <c r="AP65" s="1269"/>
      <c r="AQ65" s="747"/>
      <c r="AR65" s="1258"/>
      <c r="AS65" s="236"/>
      <c r="AT65" s="236"/>
    </row>
    <row r="66" spans="1:46" ht="15.6" customHeight="1" x14ac:dyDescent="0.2">
      <c r="B66" s="1616" t="s">
        <v>597</v>
      </c>
      <c r="C66" s="1616"/>
      <c r="D66" s="757">
        <f>SUM(D10:D63)</f>
        <v>53431</v>
      </c>
      <c r="E66" s="757"/>
      <c r="F66" s="1302"/>
      <c r="G66" s="1273">
        <f t="shared" ref="G66:AP66" si="4">SUM(G10:G63)</f>
        <v>39423</v>
      </c>
      <c r="H66" s="757"/>
      <c r="I66" s="1275"/>
      <c r="J66" s="1273">
        <f t="shared" si="4"/>
        <v>15720</v>
      </c>
      <c r="K66" s="757"/>
      <c r="L66" s="1302"/>
      <c r="M66" s="1273">
        <f t="shared" si="4"/>
        <v>13590</v>
      </c>
      <c r="N66" s="757"/>
      <c r="O66" s="1275"/>
      <c r="P66" s="1273">
        <f t="shared" si="4"/>
        <v>276004</v>
      </c>
      <c r="Q66" s="757"/>
      <c r="R66" s="1302"/>
      <c r="S66" s="1273">
        <f t="shared" si="4"/>
        <v>241975</v>
      </c>
      <c r="T66" s="757"/>
      <c r="U66" s="1275"/>
      <c r="V66" s="1273">
        <f t="shared" si="4"/>
        <v>5850</v>
      </c>
      <c r="W66" s="757"/>
      <c r="X66" s="1302"/>
      <c r="Y66" s="1273">
        <f t="shared" si="4"/>
        <v>53735</v>
      </c>
      <c r="Z66" s="757"/>
      <c r="AA66" s="1275"/>
      <c r="AB66" s="1273">
        <f t="shared" si="4"/>
        <v>116758</v>
      </c>
      <c r="AC66" s="757"/>
      <c r="AD66" s="1302"/>
      <c r="AE66" s="1273">
        <f t="shared" si="4"/>
        <v>175656</v>
      </c>
      <c r="AF66" s="757"/>
      <c r="AG66" s="1275"/>
      <c r="AH66" s="1273">
        <f t="shared" si="4"/>
        <v>0</v>
      </c>
      <c r="AI66" s="1275">
        <f t="shared" si="4"/>
        <v>0</v>
      </c>
      <c r="AJ66" s="1273">
        <f t="shared" si="4"/>
        <v>2689</v>
      </c>
      <c r="AK66" s="757"/>
      <c r="AL66" s="1302"/>
      <c r="AM66" s="1273">
        <f t="shared" si="4"/>
        <v>10950</v>
      </c>
      <c r="AN66" s="757"/>
      <c r="AO66" s="1275"/>
      <c r="AP66" s="1273">
        <f t="shared" si="4"/>
        <v>1005781</v>
      </c>
      <c r="AQ66" s="752"/>
      <c r="AR66" s="1258"/>
    </row>
    <row r="67" spans="1:46" x14ac:dyDescent="0.2">
      <c r="AQ67" s="243"/>
    </row>
    <row r="71" spans="1:46" x14ac:dyDescent="0.2">
      <c r="AQ71" s="240"/>
    </row>
    <row r="72" spans="1:46" x14ac:dyDescent="0.2">
      <c r="AQ72" s="240"/>
    </row>
    <row r="76" spans="1:46" x14ac:dyDescent="0.2">
      <c r="AB76" s="239"/>
      <c r="AC76" s="239"/>
      <c r="AD76" s="239"/>
    </row>
  </sheetData>
  <sheetProtection selectLockedCells="1" selectUnlockedCells="1"/>
  <mergeCells count="26">
    <mergeCell ref="AQ7:AQ9"/>
    <mergeCell ref="AR7:AR9"/>
    <mergeCell ref="AP5:AR5"/>
    <mergeCell ref="AJ5:AO5"/>
    <mergeCell ref="D6:AR6"/>
    <mergeCell ref="B66:C66"/>
    <mergeCell ref="AH5:AI5"/>
    <mergeCell ref="V5:Y5"/>
    <mergeCell ref="J5:M5"/>
    <mergeCell ref="D7:I8"/>
    <mergeCell ref="J7:O8"/>
    <mergeCell ref="P7:U8"/>
    <mergeCell ref="V7:AA8"/>
    <mergeCell ref="AB7:AG8"/>
    <mergeCell ref="B1:AP1"/>
    <mergeCell ref="B2:AP2"/>
    <mergeCell ref="B3:AP3"/>
    <mergeCell ref="B5:B9"/>
    <mergeCell ref="D5:G5"/>
    <mergeCell ref="AH7:AI8"/>
    <mergeCell ref="P5:S5"/>
    <mergeCell ref="AP7:AP9"/>
    <mergeCell ref="C4:AP4"/>
    <mergeCell ref="AB5:AE5"/>
    <mergeCell ref="C7:C9"/>
    <mergeCell ref="AJ7:AO8"/>
  </mergeCells>
  <phoneticPr fontId="33" type="noConversion"/>
  <pageMargins left="0.15748031496062992" right="0.15748031496062992" top="0.78740157480314965" bottom="0.78740157480314965" header="0.51181102362204722" footer="0.51181102362204722"/>
  <pageSetup paperSize="8" scale="65" firstPageNumber="0" fitToHeight="2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O39"/>
  <sheetViews>
    <sheetView topLeftCell="A2" workbookViewId="0">
      <selection activeCell="P34" sqref="P34"/>
    </sheetView>
  </sheetViews>
  <sheetFormatPr defaultColWidth="9.140625" defaultRowHeight="18" customHeight="1" x14ac:dyDescent="0.25"/>
  <cols>
    <col min="1" max="1" width="6.140625" style="27" customWidth="1"/>
    <col min="2" max="3" width="3.5703125" style="16" customWidth="1"/>
    <col min="4" max="4" width="41.5703125" style="21" customWidth="1"/>
    <col min="5" max="5" width="12.28515625" style="16" customWidth="1"/>
    <col min="6" max="6" width="11" style="16" customWidth="1"/>
    <col min="7" max="7" width="14" style="16" customWidth="1"/>
    <col min="8" max="9" width="0" style="208" hidden="1" customWidth="1"/>
    <col min="10" max="10" width="9.42578125" style="27" hidden="1" customWidth="1"/>
    <col min="11" max="16384" width="9.140625" style="27"/>
  </cols>
  <sheetData>
    <row r="1" spans="2:15" ht="18" customHeight="1" x14ac:dyDescent="0.25">
      <c r="B1" s="1632" t="s">
        <v>1279</v>
      </c>
      <c r="C1" s="1633"/>
      <c r="D1" s="1633"/>
      <c r="E1" s="1633"/>
      <c r="F1" s="1633"/>
      <c r="G1" s="1633"/>
      <c r="H1" s="1634"/>
      <c r="I1" s="1634"/>
      <c r="J1" s="1634"/>
    </row>
    <row r="3" spans="2:15" ht="15.75" customHeight="1" x14ac:dyDescent="0.25">
      <c r="B3" s="1537" t="s">
        <v>77</v>
      </c>
      <c r="C3" s="1537"/>
      <c r="D3" s="1537"/>
      <c r="E3" s="1537"/>
      <c r="F3" s="1537"/>
      <c r="G3" s="1537"/>
      <c r="H3" s="1464"/>
      <c r="I3" s="1464"/>
      <c r="J3" s="1464"/>
    </row>
    <row r="4" spans="2:15" ht="15.75" customHeight="1" x14ac:dyDescent="0.25">
      <c r="B4" s="1644" t="s">
        <v>1182</v>
      </c>
      <c r="C4" s="1645"/>
      <c r="D4" s="1645"/>
      <c r="E4" s="1645"/>
      <c r="F4" s="1645"/>
      <c r="G4" s="1645"/>
    </row>
    <row r="5" spans="2:15" ht="15.75" customHeight="1" x14ac:dyDescent="0.25">
      <c r="B5" s="1537" t="s">
        <v>927</v>
      </c>
      <c r="C5" s="1537"/>
      <c r="D5" s="1537"/>
      <c r="E5" s="1537"/>
      <c r="F5" s="1537"/>
      <c r="G5" s="1537"/>
      <c r="H5" s="1464"/>
      <c r="I5" s="1464"/>
      <c r="J5" s="1464"/>
    </row>
    <row r="6" spans="2:15" s="29" customFormat="1" ht="14.25" customHeight="1" x14ac:dyDescent="0.25">
      <c r="B6" s="1636" t="s">
        <v>315</v>
      </c>
      <c r="C6" s="1636"/>
      <c r="D6" s="1636"/>
      <c r="E6" s="1636"/>
      <c r="F6" s="1636"/>
      <c r="G6" s="1636"/>
      <c r="H6" s="1464"/>
      <c r="I6" s="1464"/>
      <c r="J6" s="1464"/>
    </row>
    <row r="7" spans="2:15" s="29" customFormat="1" ht="14.25" customHeight="1" x14ac:dyDescent="0.25">
      <c r="B7" s="24"/>
      <c r="C7" s="164"/>
      <c r="D7" s="165"/>
      <c r="E7" s="24"/>
      <c r="F7" s="24"/>
      <c r="G7" s="24"/>
    </row>
    <row r="8" spans="2:15" ht="30.6" customHeight="1" x14ac:dyDescent="0.25">
      <c r="B8" s="1637" t="s">
        <v>470</v>
      </c>
      <c r="C8" s="1639" t="s">
        <v>57</v>
      </c>
      <c r="D8" s="1639"/>
      <c r="E8" s="19" t="s">
        <v>58</v>
      </c>
      <c r="F8" s="19" t="s">
        <v>59</v>
      </c>
      <c r="G8" s="19" t="s">
        <v>60</v>
      </c>
      <c r="H8" s="27"/>
      <c r="I8" s="27"/>
    </row>
    <row r="9" spans="2:15" ht="30" customHeight="1" x14ac:dyDescent="0.25">
      <c r="B9" s="1638"/>
      <c r="C9" s="1640" t="s">
        <v>529</v>
      </c>
      <c r="D9" s="1640"/>
      <c r="E9" s="1643" t="s">
        <v>1184</v>
      </c>
      <c r="F9" s="1643"/>
      <c r="G9" s="1643"/>
      <c r="H9" s="27"/>
      <c r="I9" s="27"/>
      <c r="K9" s="1413" t="s">
        <v>1337</v>
      </c>
      <c r="L9" s="1413"/>
      <c r="M9" s="1413" t="s">
        <v>1338</v>
      </c>
      <c r="N9" s="1413"/>
      <c r="O9" s="1413"/>
    </row>
    <row r="10" spans="2:15" ht="52.9" customHeight="1" x14ac:dyDescent="0.25">
      <c r="B10" s="1638"/>
      <c r="C10" s="1641"/>
      <c r="D10" s="1642"/>
      <c r="E10" s="1303" t="s">
        <v>62</v>
      </c>
      <c r="F10" s="1303" t="s">
        <v>63</v>
      </c>
      <c r="G10" s="1303" t="s">
        <v>64</v>
      </c>
      <c r="H10" s="27"/>
      <c r="I10" s="27"/>
      <c r="K10" s="1304" t="s">
        <v>62</v>
      </c>
      <c r="L10" s="1304" t="s">
        <v>63</v>
      </c>
      <c r="M10" s="1304" t="s">
        <v>62</v>
      </c>
      <c r="N10" s="1304" t="s">
        <v>63</v>
      </c>
      <c r="O10" s="1304" t="s">
        <v>64</v>
      </c>
    </row>
    <row r="11" spans="2:15" ht="23.25" customHeight="1" x14ac:dyDescent="0.25">
      <c r="B11" s="619" t="s">
        <v>480</v>
      </c>
      <c r="C11" s="1635" t="s">
        <v>598</v>
      </c>
      <c r="D11" s="1635"/>
      <c r="E11" s="991"/>
      <c r="F11" s="991"/>
      <c r="G11" s="991"/>
      <c r="H11" s="1307"/>
      <c r="I11" s="1307"/>
      <c r="J11" s="1307"/>
      <c r="K11" s="1307"/>
      <c r="L11" s="1307"/>
      <c r="M11" s="1307"/>
      <c r="N11" s="1307"/>
      <c r="O11" s="1307"/>
    </row>
    <row r="12" spans="2:15" ht="18" customHeight="1" x14ac:dyDescent="0.25">
      <c r="B12" s="620" t="s">
        <v>488</v>
      </c>
      <c r="C12" s="1308" t="s">
        <v>563</v>
      </c>
      <c r="D12" s="1309"/>
      <c r="E12" s="991"/>
      <c r="F12" s="991"/>
      <c r="G12" s="991"/>
      <c r="H12" s="1307"/>
      <c r="I12" s="1307"/>
      <c r="J12" s="1307"/>
      <c r="K12" s="1307"/>
      <c r="L12" s="1307"/>
      <c r="M12" s="1307"/>
      <c r="N12" s="1307"/>
      <c r="O12" s="1307"/>
    </row>
    <row r="13" spans="2:15" ht="18" customHeight="1" x14ac:dyDescent="0.25">
      <c r="B13" s="620" t="s">
        <v>490</v>
      </c>
      <c r="C13" s="1310"/>
      <c r="D13" s="1311" t="s">
        <v>924</v>
      </c>
      <c r="E13" s="991">
        <v>0</v>
      </c>
      <c r="F13" s="991">
        <v>850</v>
      </c>
      <c r="G13" s="991">
        <f>SUM(E13:F13)</f>
        <v>850</v>
      </c>
      <c r="H13" s="1307"/>
      <c r="I13" s="1307"/>
      <c r="J13" s="1307"/>
      <c r="K13" s="1307"/>
      <c r="L13" s="1307"/>
      <c r="M13" s="1307"/>
      <c r="N13" s="1307"/>
      <c r="O13" s="1307"/>
    </row>
    <row r="14" spans="2:15" ht="18" customHeight="1" x14ac:dyDescent="0.25">
      <c r="B14" s="620" t="s">
        <v>491</v>
      </c>
      <c r="C14" s="1310"/>
      <c r="D14" s="992" t="s">
        <v>563</v>
      </c>
      <c r="E14" s="991"/>
      <c r="F14" s="979">
        <v>0</v>
      </c>
      <c r="G14" s="991">
        <f>SUM(E14:F14)</f>
        <v>0</v>
      </c>
      <c r="H14" s="1307"/>
      <c r="I14" s="1307"/>
      <c r="J14" s="1307"/>
      <c r="K14" s="1307"/>
      <c r="L14" s="1307"/>
      <c r="M14" s="1307"/>
      <c r="N14" s="1307"/>
      <c r="O14" s="1307"/>
    </row>
    <row r="15" spans="2:15" ht="18" customHeight="1" x14ac:dyDescent="0.25">
      <c r="B15" s="620" t="s">
        <v>492</v>
      </c>
      <c r="C15" s="1310"/>
      <c r="D15" s="992" t="s">
        <v>974</v>
      </c>
      <c r="E15" s="991"/>
      <c r="F15" s="979">
        <v>600</v>
      </c>
      <c r="G15" s="991">
        <f>SUM(E15:F15)</f>
        <v>600</v>
      </c>
      <c r="H15" s="1307"/>
      <c r="I15" s="1307"/>
      <c r="J15" s="1307"/>
      <c r="K15" s="1307"/>
      <c r="L15" s="1307"/>
      <c r="M15" s="1307"/>
      <c r="N15" s="1307"/>
      <c r="O15" s="1307"/>
    </row>
    <row r="16" spans="2:15" ht="18" customHeight="1" x14ac:dyDescent="0.25">
      <c r="B16" s="620" t="s">
        <v>493</v>
      </c>
      <c r="C16" s="1310"/>
      <c r="D16" s="992" t="s">
        <v>975</v>
      </c>
      <c r="E16" s="991"/>
      <c r="F16" s="979">
        <v>800</v>
      </c>
      <c r="G16" s="991">
        <f t="shared" ref="G16:G20" si="0">SUM(E16:F16)</f>
        <v>800</v>
      </c>
      <c r="H16" s="1307"/>
      <c r="I16" s="1307"/>
      <c r="J16" s="1307"/>
      <c r="K16" s="1307"/>
      <c r="L16" s="1307"/>
      <c r="M16" s="1307"/>
      <c r="N16" s="1307"/>
      <c r="O16" s="1307"/>
    </row>
    <row r="17" spans="2:15" ht="18" customHeight="1" x14ac:dyDescent="0.25">
      <c r="B17" s="620" t="s">
        <v>494</v>
      </c>
      <c r="C17" s="1310"/>
      <c r="D17" s="992" t="s">
        <v>976</v>
      </c>
      <c r="E17" s="991"/>
      <c r="F17" s="979">
        <v>1000</v>
      </c>
      <c r="G17" s="991">
        <f t="shared" si="0"/>
        <v>1000</v>
      </c>
      <c r="H17" s="1307"/>
      <c r="I17" s="1307"/>
      <c r="J17" s="1307"/>
      <c r="K17" s="1307"/>
      <c r="L17" s="1307"/>
      <c r="M17" s="1307"/>
      <c r="N17" s="1307"/>
      <c r="O17" s="1307"/>
    </row>
    <row r="18" spans="2:15" ht="18" customHeight="1" x14ac:dyDescent="0.25">
      <c r="B18" s="620" t="s">
        <v>495</v>
      </c>
      <c r="C18" s="1310"/>
      <c r="D18" s="992" t="s">
        <v>977</v>
      </c>
      <c r="E18" s="991"/>
      <c r="F18" s="979">
        <v>600</v>
      </c>
      <c r="G18" s="991">
        <f t="shared" si="0"/>
        <v>600</v>
      </c>
      <c r="H18" s="1307"/>
      <c r="I18" s="1307"/>
      <c r="J18" s="1307"/>
      <c r="K18" s="1307"/>
      <c r="L18" s="1307"/>
      <c r="M18" s="1307"/>
      <c r="N18" s="1307"/>
      <c r="O18" s="1307"/>
    </row>
    <row r="19" spans="2:15" ht="18" customHeight="1" x14ac:dyDescent="0.25">
      <c r="B19" s="620" t="s">
        <v>531</v>
      </c>
      <c r="C19" s="1310"/>
      <c r="D19" s="992" t="s">
        <v>978</v>
      </c>
      <c r="E19" s="991">
        <v>2300</v>
      </c>
      <c r="F19" s="979">
        <v>0</v>
      </c>
      <c r="G19" s="991">
        <f t="shared" si="0"/>
        <v>2300</v>
      </c>
      <c r="H19" s="1307"/>
      <c r="I19" s="1307"/>
      <c r="J19" s="1307"/>
      <c r="K19" s="1307"/>
      <c r="L19" s="1307"/>
      <c r="M19" s="1307"/>
      <c r="N19" s="1307"/>
      <c r="O19" s="1307"/>
    </row>
    <row r="20" spans="2:15" ht="18" customHeight="1" x14ac:dyDescent="0.25">
      <c r="B20" s="620" t="s">
        <v>532</v>
      </c>
      <c r="C20" s="1310"/>
      <c r="D20" s="1312" t="s">
        <v>596</v>
      </c>
      <c r="E20" s="991">
        <v>389</v>
      </c>
      <c r="F20" s="979">
        <v>0</v>
      </c>
      <c r="G20" s="991">
        <f t="shared" si="0"/>
        <v>389</v>
      </c>
      <c r="H20" s="1307"/>
      <c r="I20" s="1307"/>
      <c r="J20" s="1307"/>
      <c r="K20" s="1307"/>
      <c r="L20" s="1307"/>
      <c r="M20" s="1307"/>
      <c r="N20" s="1307"/>
      <c r="O20" s="1307"/>
    </row>
    <row r="21" spans="2:15" ht="18" customHeight="1" x14ac:dyDescent="0.25">
      <c r="B21" s="620" t="s">
        <v>533</v>
      </c>
      <c r="C21" s="1310"/>
      <c r="D21" s="1312" t="s">
        <v>560</v>
      </c>
      <c r="E21" s="991"/>
      <c r="F21" s="979">
        <v>1800</v>
      </c>
      <c r="G21" s="991">
        <f>SUM(E21:F21)</f>
        <v>1800</v>
      </c>
      <c r="H21" s="1307"/>
      <c r="I21" s="1307"/>
      <c r="J21" s="1307"/>
      <c r="K21" s="1307"/>
      <c r="L21" s="1307"/>
      <c r="M21" s="1307"/>
      <c r="N21" s="1307"/>
      <c r="O21" s="1307"/>
    </row>
    <row r="22" spans="2:15" ht="18" customHeight="1" x14ac:dyDescent="0.25">
      <c r="B22" s="620" t="s">
        <v>534</v>
      </c>
      <c r="C22" s="1310"/>
      <c r="D22" s="1312" t="s">
        <v>559</v>
      </c>
      <c r="E22" s="991"/>
      <c r="F22" s="979">
        <v>1100</v>
      </c>
      <c r="G22" s="991">
        <f>SUM(E22:F22)</f>
        <v>1100</v>
      </c>
      <c r="H22" s="1307"/>
      <c r="I22" s="1307"/>
      <c r="J22" s="1307"/>
      <c r="K22" s="1307"/>
      <c r="L22" s="1307"/>
      <c r="M22" s="1307"/>
      <c r="N22" s="1307"/>
      <c r="O22" s="1307"/>
    </row>
    <row r="23" spans="2:15" ht="18" customHeight="1" x14ac:dyDescent="0.25">
      <c r="B23" s="620" t="s">
        <v>535</v>
      </c>
      <c r="C23" s="1308" t="s">
        <v>925</v>
      </c>
      <c r="D23" s="1309"/>
      <c r="E23" s="1313">
        <f>SUM(E13:E22)</f>
        <v>2689</v>
      </c>
      <c r="F23" s="1313">
        <f>SUM(F13:F22)</f>
        <v>6750</v>
      </c>
      <c r="G23" s="1313">
        <f t="shared" ref="G23:J23" si="1">SUM(G13:G22)</f>
        <v>9439</v>
      </c>
      <c r="H23" s="1313">
        <f t="shared" si="1"/>
        <v>0</v>
      </c>
      <c r="I23" s="1313">
        <f t="shared" si="1"/>
        <v>0</v>
      </c>
      <c r="J23" s="1313">
        <f t="shared" si="1"/>
        <v>0</v>
      </c>
      <c r="K23" s="1307"/>
      <c r="L23" s="1307"/>
      <c r="M23" s="1307"/>
      <c r="N23" s="1307"/>
      <c r="O23" s="1307"/>
    </row>
    <row r="24" spans="2:15" ht="18" customHeight="1" x14ac:dyDescent="0.25">
      <c r="B24" s="620"/>
      <c r="C24" s="991"/>
      <c r="D24" s="992"/>
      <c r="E24" s="979"/>
      <c r="F24" s="991"/>
      <c r="G24" s="991"/>
      <c r="H24" s="1307"/>
      <c r="I24" s="1307"/>
      <c r="J24" s="1307"/>
      <c r="K24" s="1307"/>
      <c r="L24" s="1307"/>
      <c r="M24" s="1307"/>
      <c r="N24" s="1307"/>
      <c r="O24" s="1307"/>
    </row>
    <row r="25" spans="2:15" ht="18" customHeight="1" x14ac:dyDescent="0.25">
      <c r="B25" s="620"/>
      <c r="C25" s="1314"/>
      <c r="D25" s="992"/>
      <c r="E25" s="1314"/>
      <c r="F25" s="1314"/>
      <c r="G25" s="1314"/>
      <c r="H25" s="1307"/>
      <c r="I25" s="1307"/>
      <c r="J25" s="1307"/>
      <c r="K25" s="1307"/>
      <c r="L25" s="1307"/>
      <c r="M25" s="1307"/>
      <c r="N25" s="1307"/>
      <c r="O25" s="1307"/>
    </row>
    <row r="26" spans="2:15" ht="37.9" customHeight="1" x14ac:dyDescent="0.25">
      <c r="B26" s="621" t="s">
        <v>536</v>
      </c>
      <c r="C26" s="991"/>
      <c r="D26" s="992" t="s">
        <v>601</v>
      </c>
      <c r="E26" s="991"/>
      <c r="F26" s="991">
        <v>4200</v>
      </c>
      <c r="G26" s="991">
        <f>SUM(E26:F26)</f>
        <v>4200</v>
      </c>
      <c r="H26" s="1307"/>
      <c r="I26" s="1307"/>
      <c r="J26" s="1307"/>
      <c r="K26" s="1307"/>
      <c r="L26" s="1307"/>
      <c r="M26" s="1307"/>
      <c r="N26" s="1307"/>
      <c r="O26" s="1307"/>
    </row>
    <row r="27" spans="2:15" ht="23.25" customHeight="1" thickBot="1" x14ac:dyDescent="0.3">
      <c r="B27" s="621" t="s">
        <v>537</v>
      </c>
      <c r="C27" s="1315"/>
      <c r="D27" s="1316" t="s">
        <v>599</v>
      </c>
      <c r="E27" s="1317">
        <f>E26</f>
        <v>0</v>
      </c>
      <c r="F27" s="1317">
        <f t="shared" ref="F27:G27" si="2">F26</f>
        <v>4200</v>
      </c>
      <c r="G27" s="1317">
        <f t="shared" si="2"/>
        <v>4200</v>
      </c>
      <c r="H27" s="1318"/>
      <c r="I27" s="1318"/>
      <c r="J27" s="1318"/>
      <c r="K27" s="1318"/>
      <c r="L27" s="1318"/>
      <c r="M27" s="1318"/>
      <c r="N27" s="1318"/>
      <c r="O27" s="1318"/>
    </row>
    <row r="28" spans="2:15" s="29" customFormat="1" ht="18" customHeight="1" thickBot="1" x14ac:dyDescent="0.3">
      <c r="B28" s="1319" t="s">
        <v>538</v>
      </c>
      <c r="C28" s="1320" t="s">
        <v>926</v>
      </c>
      <c r="D28" s="1321"/>
      <c r="E28" s="551">
        <f>E23+E25+E26</f>
        <v>2689</v>
      </c>
      <c r="F28" s="551">
        <f>F23+F25+F26</f>
        <v>10950</v>
      </c>
      <c r="G28" s="551">
        <f>G23+G25+G26</f>
        <v>13639</v>
      </c>
      <c r="H28" s="1322"/>
      <c r="I28" s="1322"/>
      <c r="J28" s="1322"/>
      <c r="K28" s="1322"/>
      <c r="L28" s="1322"/>
      <c r="M28" s="1322"/>
      <c r="N28" s="1322"/>
      <c r="O28" s="1323"/>
    </row>
    <row r="29" spans="2:15" ht="18" customHeight="1" x14ac:dyDescent="0.25">
      <c r="B29" s="406"/>
      <c r="H29" s="27"/>
      <c r="I29" s="27"/>
    </row>
    <row r="30" spans="2:15" ht="18" customHeight="1" x14ac:dyDescent="0.25">
      <c r="H30" s="27"/>
      <c r="I30" s="27"/>
    </row>
    <row r="31" spans="2:15" ht="18" customHeight="1" x14ac:dyDescent="0.25">
      <c r="H31" s="27"/>
      <c r="I31" s="27"/>
    </row>
    <row r="32" spans="2:15" ht="18" customHeight="1" x14ac:dyDescent="0.25">
      <c r="H32" s="27"/>
      <c r="I32" s="27"/>
    </row>
    <row r="33" spans="8:9" ht="18" customHeight="1" x14ac:dyDescent="0.25">
      <c r="H33" s="27"/>
      <c r="I33" s="27"/>
    </row>
    <row r="34" spans="8:9" ht="18" customHeight="1" x14ac:dyDescent="0.25">
      <c r="H34" s="27"/>
      <c r="I34" s="27"/>
    </row>
    <row r="35" spans="8:9" ht="18" customHeight="1" x14ac:dyDescent="0.25">
      <c r="H35" s="27"/>
      <c r="I35" s="27"/>
    </row>
    <row r="36" spans="8:9" ht="18" customHeight="1" x14ac:dyDescent="0.25">
      <c r="H36" s="27"/>
      <c r="I36" s="27"/>
    </row>
    <row r="37" spans="8:9" ht="18" customHeight="1" x14ac:dyDescent="0.25">
      <c r="H37" s="27"/>
      <c r="I37" s="27"/>
    </row>
    <row r="38" spans="8:9" ht="18" customHeight="1" x14ac:dyDescent="0.25">
      <c r="H38" s="27"/>
      <c r="I38" s="27"/>
    </row>
    <row r="39" spans="8:9" ht="18" customHeight="1" x14ac:dyDescent="0.25">
      <c r="H39" s="27"/>
      <c r="I39" s="27"/>
    </row>
  </sheetData>
  <sheetProtection selectLockedCells="1" selectUnlockedCells="1"/>
  <mergeCells count="12">
    <mergeCell ref="K9:L9"/>
    <mergeCell ref="M9:O9"/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4" type="noConversion"/>
  <pageMargins left="0.39370078740157483" right="0.39370078740157483" top="0.98425196850393704" bottom="0.98425196850393704" header="0.51181102362204722" footer="0.51181102362204722"/>
  <pageSetup paperSize="9" scale="70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8"/>
  <sheetViews>
    <sheetView workbookViewId="0">
      <selection activeCell="B1" sqref="B1:K1"/>
    </sheetView>
  </sheetViews>
  <sheetFormatPr defaultColWidth="9.140625" defaultRowHeight="18" customHeight="1" x14ac:dyDescent="0.2"/>
  <cols>
    <col min="1" max="1" width="12.28515625" style="3" customWidth="1"/>
    <col min="2" max="3" width="3.5703125" style="2" customWidth="1"/>
    <col min="4" max="4" width="35" style="161" customWidth="1"/>
    <col min="5" max="6" width="9.42578125" style="2" customWidth="1"/>
    <col min="7" max="7" width="9.7109375" style="2" customWidth="1"/>
    <col min="8" max="9" width="0" style="162" hidden="1" customWidth="1"/>
    <col min="10" max="10" width="9.85546875" style="175" hidden="1" customWidth="1"/>
    <col min="11" max="11" width="0" style="175" hidden="1" customWidth="1"/>
    <col min="12" max="16384" width="9.140625" style="3"/>
  </cols>
  <sheetData>
    <row r="1" spans="1:12" ht="31.5" customHeight="1" x14ac:dyDescent="0.2">
      <c r="B1" s="1654" t="s">
        <v>1280</v>
      </c>
      <c r="C1" s="1654"/>
      <c r="D1" s="1654"/>
      <c r="E1" s="1654"/>
      <c r="F1" s="1654"/>
      <c r="G1" s="1654"/>
      <c r="H1" s="1655"/>
      <c r="I1" s="1655"/>
      <c r="J1" s="1655"/>
      <c r="K1" s="1464"/>
    </row>
    <row r="3" spans="1:12" ht="12.75" customHeight="1" x14ac:dyDescent="0.2">
      <c r="B3" s="1463" t="s">
        <v>508</v>
      </c>
      <c r="C3" s="1463"/>
      <c r="D3" s="1463"/>
      <c r="E3" s="1463"/>
      <c r="F3" s="1463"/>
      <c r="G3" s="1463"/>
      <c r="H3" s="1464"/>
      <c r="I3" s="1464"/>
      <c r="J3" s="1464"/>
    </row>
    <row r="4" spans="1:12" ht="12.75" customHeight="1" x14ac:dyDescent="0.2">
      <c r="B4" s="1463" t="s">
        <v>1049</v>
      </c>
      <c r="C4" s="1463"/>
      <c r="D4" s="1463"/>
      <c r="E4" s="1463"/>
      <c r="F4" s="1463"/>
      <c r="G4" s="1463"/>
      <c r="H4" s="1464"/>
      <c r="I4" s="1464"/>
      <c r="J4" s="1464"/>
    </row>
    <row r="5" spans="1:12" ht="12.75" customHeight="1" x14ac:dyDescent="0.2">
      <c r="B5" s="1463" t="s">
        <v>927</v>
      </c>
      <c r="C5" s="1463"/>
      <c r="D5" s="1463"/>
      <c r="E5" s="1463"/>
      <c r="F5" s="1463"/>
      <c r="G5" s="1463"/>
      <c r="H5" s="1464"/>
      <c r="I5" s="1464"/>
      <c r="J5" s="1464"/>
    </row>
    <row r="6" spans="1:12" s="105" customFormat="1" ht="14.25" customHeight="1" x14ac:dyDescent="0.2">
      <c r="B6" s="158"/>
      <c r="C6" s="1653" t="s">
        <v>303</v>
      </c>
      <c r="D6" s="1653"/>
      <c r="E6" s="1558"/>
      <c r="F6" s="1558"/>
      <c r="G6" s="1558"/>
      <c r="H6" s="1464"/>
      <c r="I6" s="1464"/>
      <c r="J6" s="1464"/>
      <c r="K6" s="177"/>
    </row>
    <row r="7" spans="1:12" s="105" customFormat="1" ht="6" customHeight="1" x14ac:dyDescent="0.2">
      <c r="B7" s="158"/>
      <c r="C7" s="155"/>
      <c r="D7" s="167"/>
      <c r="E7" s="158"/>
      <c r="F7" s="158"/>
      <c r="G7" s="158"/>
      <c r="H7" s="207"/>
      <c r="I7" s="207"/>
      <c r="J7" s="177"/>
      <c r="K7" s="177"/>
    </row>
    <row r="8" spans="1:12" ht="27" customHeight="1" x14ac:dyDescent="0.25">
      <c r="B8" s="1646" t="s">
        <v>470</v>
      </c>
      <c r="C8" s="1649" t="s">
        <v>57</v>
      </c>
      <c r="D8" s="1649"/>
      <c r="E8" s="19" t="s">
        <v>58</v>
      </c>
      <c r="F8" s="19" t="s">
        <v>59</v>
      </c>
      <c r="G8" s="19" t="s">
        <v>60</v>
      </c>
      <c r="H8" s="175"/>
      <c r="I8" s="3"/>
      <c r="J8" s="3"/>
      <c r="K8" s="3"/>
    </row>
    <row r="9" spans="1:12" ht="30" customHeight="1" x14ac:dyDescent="0.2">
      <c r="B9" s="1647"/>
      <c r="C9" s="1640" t="s">
        <v>85</v>
      </c>
      <c r="D9" s="1640"/>
      <c r="E9" s="1651" t="s">
        <v>1048</v>
      </c>
      <c r="F9" s="1651"/>
      <c r="G9" s="1651"/>
      <c r="H9" s="175"/>
      <c r="I9" s="3"/>
      <c r="J9" s="3"/>
      <c r="K9" s="3"/>
    </row>
    <row r="10" spans="1:12" ht="41.25" customHeight="1" x14ac:dyDescent="0.2">
      <c r="B10" s="1648"/>
      <c r="C10" s="1640"/>
      <c r="D10" s="1640"/>
      <c r="E10" s="166" t="s">
        <v>62</v>
      </c>
      <c r="F10" s="166" t="s">
        <v>63</v>
      </c>
      <c r="G10" s="166" t="s">
        <v>64</v>
      </c>
      <c r="H10" s="175"/>
      <c r="I10" s="3"/>
      <c r="J10" s="3"/>
      <c r="K10" s="3"/>
    </row>
    <row r="11" spans="1:12" ht="18" customHeight="1" x14ac:dyDescent="0.2">
      <c r="A11" s="615"/>
      <c r="B11" s="616" t="s">
        <v>480</v>
      </c>
      <c r="C11" s="1652" t="s">
        <v>602</v>
      </c>
      <c r="D11" s="1652"/>
      <c r="E11" s="168"/>
      <c r="F11" s="159"/>
      <c r="G11" s="402"/>
      <c r="H11" s="175"/>
      <c r="I11" s="3"/>
      <c r="J11" s="3"/>
      <c r="K11" s="3"/>
      <c r="L11" s="416"/>
    </row>
    <row r="12" spans="1:12" ht="26.45" customHeight="1" x14ac:dyDescent="0.2">
      <c r="A12" s="615"/>
      <c r="B12" s="617" t="s">
        <v>488</v>
      </c>
      <c r="C12" s="159"/>
      <c r="D12" s="227" t="s">
        <v>928</v>
      </c>
      <c r="E12" s="170">
        <f>'tám, végl. pe.átv  '!C29</f>
        <v>0</v>
      </c>
      <c r="F12" s="169"/>
      <c r="G12" s="402">
        <f>SUM(E12:F12)</f>
        <v>0</v>
      </c>
      <c r="H12" s="175"/>
      <c r="I12" s="3"/>
      <c r="J12" s="3"/>
      <c r="K12" s="3"/>
      <c r="L12" s="416"/>
    </row>
    <row r="13" spans="1:12" ht="20.25" customHeight="1" x14ac:dyDescent="0.2">
      <c r="A13" s="615"/>
      <c r="B13" s="617" t="s">
        <v>489</v>
      </c>
      <c r="C13" s="159"/>
      <c r="D13" s="227" t="s">
        <v>105</v>
      </c>
      <c r="E13" s="168">
        <v>0</v>
      </c>
      <c r="F13" s="159">
        <f>SUM(F12)</f>
        <v>0</v>
      </c>
      <c r="G13" s="402">
        <f>SUM(E13:F13)</f>
        <v>0</v>
      </c>
      <c r="H13" s="175"/>
      <c r="I13" s="3"/>
      <c r="J13" s="3"/>
      <c r="K13" s="3"/>
      <c r="L13" s="416"/>
    </row>
    <row r="14" spans="1:12" ht="18" customHeight="1" x14ac:dyDescent="0.2">
      <c r="A14" s="615"/>
      <c r="B14" s="617" t="s">
        <v>490</v>
      </c>
      <c r="D14" s="171" t="s">
        <v>599</v>
      </c>
      <c r="E14" s="172">
        <f>SUM(E12:E13)</f>
        <v>0</v>
      </c>
      <c r="F14" s="160"/>
      <c r="G14" s="403">
        <f>SUM(G12:G13)</f>
        <v>0</v>
      </c>
      <c r="H14" s="175"/>
      <c r="I14" s="3"/>
      <c r="J14" s="3"/>
      <c r="K14" s="3"/>
      <c r="L14" s="416"/>
    </row>
    <row r="15" spans="1:12" ht="18" customHeight="1" x14ac:dyDescent="0.2">
      <c r="A15" s="615"/>
      <c r="B15" s="617" t="s">
        <v>491</v>
      </c>
      <c r="D15" s="171"/>
      <c r="E15" s="168"/>
      <c r="F15" s="159"/>
      <c r="G15" s="402"/>
      <c r="H15" s="175"/>
      <c r="I15" s="3"/>
      <c r="J15" s="3"/>
      <c r="K15" s="3"/>
      <c r="L15" s="416"/>
    </row>
    <row r="16" spans="1:12" ht="18" customHeight="1" x14ac:dyDescent="0.2">
      <c r="A16" s="615"/>
      <c r="B16" s="618" t="s">
        <v>492</v>
      </c>
      <c r="E16" s="209"/>
      <c r="F16" s="159"/>
      <c r="G16" s="404"/>
      <c r="H16" s="175"/>
      <c r="I16" s="3"/>
      <c r="J16" s="3"/>
      <c r="K16" s="3"/>
      <c r="L16" s="416"/>
    </row>
    <row r="17" spans="2:12" ht="18" customHeight="1" x14ac:dyDescent="0.2">
      <c r="B17" s="173" t="s">
        <v>493</v>
      </c>
      <c r="C17" s="1650" t="s">
        <v>600</v>
      </c>
      <c r="D17" s="1650"/>
      <c r="E17" s="174">
        <f>E14</f>
        <v>0</v>
      </c>
      <c r="F17" s="174">
        <f t="shared" ref="F17:G17" si="0">F14</f>
        <v>0</v>
      </c>
      <c r="G17" s="174">
        <f t="shared" si="0"/>
        <v>0</v>
      </c>
      <c r="H17" s="175"/>
      <c r="I17" s="3"/>
      <c r="J17" s="3"/>
      <c r="K17" s="3"/>
      <c r="L17" s="416"/>
    </row>
    <row r="18" spans="2:12" ht="18" customHeight="1" x14ac:dyDescent="0.2">
      <c r="B18" s="4"/>
      <c r="H18" s="175"/>
      <c r="I18" s="3"/>
      <c r="J18" s="3"/>
      <c r="K18" s="3"/>
    </row>
  </sheetData>
  <sheetProtection selectLockedCells="1" selectUnlockedCells="1"/>
  <mergeCells count="11">
    <mergeCell ref="B3:J3"/>
    <mergeCell ref="B4:J4"/>
    <mergeCell ref="B5:J5"/>
    <mergeCell ref="C6:J6"/>
    <mergeCell ref="B1:K1"/>
    <mergeCell ref="B8:B10"/>
    <mergeCell ref="C8:D8"/>
    <mergeCell ref="C17:D17"/>
    <mergeCell ref="E9:G9"/>
    <mergeCell ref="C11:D11"/>
    <mergeCell ref="C9:D10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55"/>
  <sheetViews>
    <sheetView topLeftCell="A16" zoomScale="120" workbookViewId="0">
      <selection activeCell="Q58" sqref="Q58"/>
    </sheetView>
  </sheetViews>
  <sheetFormatPr defaultColWidth="9.140625" defaultRowHeight="11.25" x14ac:dyDescent="0.2"/>
  <cols>
    <col min="1" max="1" width="4.85546875" style="113" customWidth="1"/>
    <col min="2" max="2" width="39.85546875" style="113" customWidth="1"/>
    <col min="3" max="3" width="10.28515625" style="114" customWidth="1"/>
    <col min="4" max="4" width="11" style="114" customWidth="1"/>
    <col min="5" max="5" width="10.85546875" style="114" customWidth="1"/>
    <col min="6" max="8" width="11.140625" style="114" customWidth="1"/>
    <col min="9" max="9" width="11.28515625" style="114" customWidth="1"/>
    <col min="10" max="10" width="11.140625" style="114" customWidth="1"/>
    <col min="11" max="11" width="33.7109375" style="114" customWidth="1"/>
    <col min="12" max="14" width="11.140625" style="198" customWidth="1"/>
    <col min="15" max="15" width="11" style="113" customWidth="1"/>
    <col min="16" max="18" width="11.140625" style="9" customWidth="1"/>
    <col min="19" max="19" width="11" style="9" customWidth="1"/>
    <col min="20" max="16384" width="9.140625" style="9"/>
  </cols>
  <sheetData>
    <row r="1" spans="1:19" ht="12.75" customHeight="1" x14ac:dyDescent="0.2">
      <c r="B1" s="1409" t="s">
        <v>1349</v>
      </c>
      <c r="C1" s="1409"/>
      <c r="D1" s="1409"/>
      <c r="E1" s="1409"/>
      <c r="F1" s="1409"/>
      <c r="G1" s="1409"/>
      <c r="H1" s="1409"/>
      <c r="I1" s="1409"/>
      <c r="J1" s="1409"/>
      <c r="K1" s="1409"/>
      <c r="L1" s="1409"/>
      <c r="M1" s="1409"/>
      <c r="N1" s="1409"/>
      <c r="O1" s="1409"/>
      <c r="P1" s="1409"/>
      <c r="Q1" s="1409"/>
      <c r="R1" s="1409"/>
      <c r="S1" s="1409"/>
    </row>
    <row r="2" spans="1:19" x14ac:dyDescent="0.2">
      <c r="N2" s="246"/>
    </row>
    <row r="3" spans="1:19" x14ac:dyDescent="0.2">
      <c r="N3" s="246"/>
    </row>
    <row r="4" spans="1:19" s="95" customFormat="1" x14ac:dyDescent="0.2">
      <c r="A4" s="116"/>
      <c r="B4" s="1414" t="s">
        <v>77</v>
      </c>
      <c r="C4" s="1414"/>
      <c r="D4" s="1414"/>
      <c r="E4" s="1414"/>
      <c r="F4" s="1414"/>
      <c r="G4" s="1414"/>
      <c r="H4" s="1414"/>
      <c r="I4" s="1414"/>
      <c r="J4" s="1414"/>
      <c r="K4" s="1414"/>
      <c r="L4" s="1414"/>
      <c r="M4" s="1414"/>
      <c r="N4" s="1414"/>
      <c r="O4" s="1414"/>
      <c r="P4" s="1414"/>
      <c r="Q4" s="1414"/>
      <c r="R4" s="1414"/>
      <c r="S4" s="1414"/>
    </row>
    <row r="5" spans="1:19" s="95" customFormat="1" x14ac:dyDescent="0.2">
      <c r="A5" s="116"/>
      <c r="B5" s="1551" t="s">
        <v>183</v>
      </c>
      <c r="C5" s="1551"/>
      <c r="D5" s="1551"/>
      <c r="E5" s="1551"/>
      <c r="F5" s="1551"/>
      <c r="G5" s="1551"/>
      <c r="H5" s="1551"/>
      <c r="I5" s="1551"/>
      <c r="J5" s="1551"/>
      <c r="K5" s="1551"/>
      <c r="L5" s="1551"/>
      <c r="M5" s="1551"/>
      <c r="N5" s="1551"/>
      <c r="O5" s="1551"/>
      <c r="P5" s="1551"/>
      <c r="Q5" s="1551"/>
      <c r="R5" s="1551"/>
      <c r="S5" s="1551"/>
    </row>
    <row r="6" spans="1:19" s="95" customFormat="1" x14ac:dyDescent="0.2">
      <c r="A6" s="116"/>
      <c r="B6" s="1414" t="s">
        <v>1161</v>
      </c>
      <c r="C6" s="1414"/>
      <c r="D6" s="1414"/>
      <c r="E6" s="1414"/>
      <c r="F6" s="1414"/>
      <c r="G6" s="1414"/>
      <c r="H6" s="1414"/>
      <c r="I6" s="1414"/>
      <c r="J6" s="1414"/>
      <c r="K6" s="1414"/>
      <c r="L6" s="1414"/>
      <c r="M6" s="1414"/>
      <c r="N6" s="1414"/>
      <c r="O6" s="1414"/>
      <c r="P6" s="1414"/>
      <c r="Q6" s="1414"/>
      <c r="R6" s="1414"/>
      <c r="S6" s="1414"/>
    </row>
    <row r="7" spans="1:19" s="95" customFormat="1" x14ac:dyDescent="0.2">
      <c r="A7" s="116"/>
      <c r="B7" s="1656" t="s">
        <v>303</v>
      </c>
      <c r="C7" s="1656"/>
      <c r="D7" s="1656"/>
      <c r="E7" s="1656"/>
      <c r="F7" s="1656"/>
      <c r="G7" s="1656"/>
      <c r="H7" s="1656"/>
      <c r="I7" s="1656"/>
      <c r="J7" s="1656"/>
      <c r="K7" s="1656"/>
      <c r="L7" s="1656"/>
      <c r="M7" s="1656"/>
      <c r="N7" s="1656"/>
      <c r="O7" s="1656"/>
      <c r="P7" s="1656"/>
      <c r="Q7" s="1656"/>
      <c r="R7" s="1656"/>
      <c r="S7" s="1656"/>
    </row>
    <row r="8" spans="1:19" s="95" customFormat="1" ht="12.75" customHeight="1" x14ac:dyDescent="0.2">
      <c r="A8" s="1410" t="s">
        <v>56</v>
      </c>
      <c r="B8" s="1411" t="s">
        <v>57</v>
      </c>
      <c r="C8" s="1411" t="s">
        <v>58</v>
      </c>
      <c r="D8" s="1411"/>
      <c r="E8" s="1411"/>
      <c r="F8" s="1411"/>
      <c r="G8" s="1411"/>
      <c r="H8" s="1411"/>
      <c r="I8" s="1411"/>
      <c r="J8" s="1411"/>
      <c r="K8" s="1412" t="s">
        <v>59</v>
      </c>
      <c r="L8" s="1657" t="s">
        <v>60</v>
      </c>
      <c r="M8" s="1657"/>
      <c r="N8" s="1657"/>
      <c r="O8" s="1657"/>
      <c r="P8" s="1657"/>
      <c r="Q8" s="1657"/>
      <c r="R8" s="1657"/>
      <c r="S8" s="1657"/>
    </row>
    <row r="9" spans="1:19" s="95" customFormat="1" ht="12.75" customHeight="1" x14ac:dyDescent="0.2">
      <c r="A9" s="1410"/>
      <c r="B9" s="1411"/>
      <c r="C9" s="1413" t="s">
        <v>1344</v>
      </c>
      <c r="D9" s="1413"/>
      <c r="E9" s="1413"/>
      <c r="F9" s="1413" t="s">
        <v>1337</v>
      </c>
      <c r="G9" s="1413"/>
      <c r="H9" s="1413" t="s">
        <v>1338</v>
      </c>
      <c r="I9" s="1413"/>
      <c r="J9" s="1413"/>
      <c r="K9" s="1412"/>
      <c r="L9" s="1658" t="s">
        <v>1344</v>
      </c>
      <c r="M9" s="1658"/>
      <c r="N9" s="1658"/>
      <c r="O9" s="1413" t="s">
        <v>1337</v>
      </c>
      <c r="P9" s="1413"/>
      <c r="Q9" s="1413" t="s">
        <v>1338</v>
      </c>
      <c r="R9" s="1413"/>
      <c r="S9" s="1413"/>
    </row>
    <row r="10" spans="1:19" s="210" customFormat="1" ht="36.6" customHeight="1" x14ac:dyDescent="0.2">
      <c r="A10" s="1410"/>
      <c r="B10" s="1404" t="s">
        <v>61</v>
      </c>
      <c r="C10" s="1306" t="s">
        <v>62</v>
      </c>
      <c r="D10" s="1306" t="s">
        <v>63</v>
      </c>
      <c r="E10" s="1306" t="s">
        <v>64</v>
      </c>
      <c r="F10" s="1359" t="s">
        <v>62</v>
      </c>
      <c r="G10" s="1306" t="s">
        <v>63</v>
      </c>
      <c r="H10" s="1306" t="s">
        <v>62</v>
      </c>
      <c r="I10" s="1306" t="s">
        <v>63</v>
      </c>
      <c r="J10" s="1306" t="s">
        <v>64</v>
      </c>
      <c r="K10" s="1305" t="s">
        <v>65</v>
      </c>
      <c r="L10" s="1405" t="s">
        <v>62</v>
      </c>
      <c r="M10" s="1405" t="s">
        <v>63</v>
      </c>
      <c r="N10" s="1405" t="s">
        <v>64</v>
      </c>
      <c r="O10" s="1306" t="s">
        <v>62</v>
      </c>
      <c r="P10" s="1306" t="s">
        <v>63</v>
      </c>
      <c r="Q10" s="1306" t="s">
        <v>62</v>
      </c>
      <c r="R10" s="1306" t="s">
        <v>63</v>
      </c>
      <c r="S10" s="1306" t="s">
        <v>64</v>
      </c>
    </row>
    <row r="11" spans="1:19" ht="11.45" customHeight="1" x14ac:dyDescent="0.2">
      <c r="A11" s="552">
        <v>1</v>
      </c>
      <c r="B11" s="1326" t="s">
        <v>24</v>
      </c>
      <c r="C11" s="121"/>
      <c r="D11" s="121"/>
      <c r="E11" s="1354"/>
      <c r="F11" s="121"/>
      <c r="G11" s="1360"/>
      <c r="H11" s="121"/>
      <c r="I11" s="121"/>
      <c r="J11" s="1360"/>
      <c r="K11" s="1337" t="s">
        <v>25</v>
      </c>
      <c r="L11" s="1336"/>
      <c r="M11" s="1336"/>
      <c r="N11" s="1406"/>
      <c r="O11" s="199"/>
      <c r="P11" s="1388"/>
      <c r="Q11" s="199"/>
      <c r="R11" s="199"/>
      <c r="S11" s="1388"/>
    </row>
    <row r="12" spans="1:19" x14ac:dyDescent="0.2">
      <c r="A12" s="552">
        <f t="shared" ref="A12:A54" si="0">A11+1</f>
        <v>2</v>
      </c>
      <c r="B12" s="118" t="s">
        <v>35</v>
      </c>
      <c r="C12" s="92"/>
      <c r="D12" s="92"/>
      <c r="E12" s="328">
        <f t="shared" ref="E12:E18" si="1">SUM(C12:D12)</f>
        <v>0</v>
      </c>
      <c r="F12" s="92"/>
      <c r="G12" s="328"/>
      <c r="H12" s="92"/>
      <c r="I12" s="92"/>
      <c r="J12" s="328"/>
      <c r="K12" s="92" t="s">
        <v>216</v>
      </c>
      <c r="L12" s="193">
        <v>208582</v>
      </c>
      <c r="M12" s="193">
        <v>51727</v>
      </c>
      <c r="N12" s="1355">
        <f>SUM(L12:M12)</f>
        <v>260309</v>
      </c>
      <c r="O12" s="200"/>
      <c r="P12" s="1361">
        <v>319</v>
      </c>
      <c r="Q12" s="200">
        <f>L12+O12</f>
        <v>208582</v>
      </c>
      <c r="R12" s="200">
        <f>M12+P12</f>
        <v>52046</v>
      </c>
      <c r="S12" s="1361">
        <f>Q12+R12</f>
        <v>260628</v>
      </c>
    </row>
    <row r="13" spans="1:19" x14ac:dyDescent="0.2">
      <c r="A13" s="552">
        <f t="shared" si="0"/>
        <v>3</v>
      </c>
      <c r="B13" s="118" t="s">
        <v>36</v>
      </c>
      <c r="C13" s="92"/>
      <c r="D13" s="92"/>
      <c r="E13" s="328">
        <f t="shared" si="1"/>
        <v>0</v>
      </c>
      <c r="F13" s="92"/>
      <c r="G13" s="328"/>
      <c r="H13" s="92"/>
      <c r="I13" s="92"/>
      <c r="J13" s="328"/>
      <c r="K13" s="1345" t="s">
        <v>217</v>
      </c>
      <c r="L13" s="193">
        <v>44979</v>
      </c>
      <c r="M13" s="193">
        <v>9889</v>
      </c>
      <c r="N13" s="1355">
        <f>SUM(L13:M13)</f>
        <v>54868</v>
      </c>
      <c r="O13" s="200"/>
      <c r="P13" s="1361">
        <v>31</v>
      </c>
      <c r="Q13" s="200">
        <f t="shared" ref="Q13:Q53" si="2">L13+O13</f>
        <v>44979</v>
      </c>
      <c r="R13" s="200">
        <f t="shared" ref="R13:R53" si="3">M13+P13</f>
        <v>9920</v>
      </c>
      <c r="S13" s="1361">
        <f t="shared" ref="S13:S53" si="4">Q13+R13</f>
        <v>54899</v>
      </c>
    </row>
    <row r="14" spans="1:19" x14ac:dyDescent="0.2">
      <c r="A14" s="552">
        <f t="shared" si="0"/>
        <v>4</v>
      </c>
      <c r="B14" s="118" t="s">
        <v>193</v>
      </c>
      <c r="C14" s="92">
        <f>'tám, végl. pe.átv  '!C54</f>
        <v>0</v>
      </c>
      <c r="D14" s="92">
        <f>'tám, végl. pe.átv  '!D54</f>
        <v>565</v>
      </c>
      <c r="E14" s="339">
        <f t="shared" si="1"/>
        <v>565</v>
      </c>
      <c r="F14" s="193"/>
      <c r="G14" s="339">
        <v>350</v>
      </c>
      <c r="H14" s="193">
        <f>C14+F14</f>
        <v>0</v>
      </c>
      <c r="I14" s="193">
        <f>D14+G14</f>
        <v>915</v>
      </c>
      <c r="J14" s="339">
        <f>H14+I14</f>
        <v>915</v>
      </c>
      <c r="K14" s="92" t="s">
        <v>218</v>
      </c>
      <c r="L14" s="193">
        <v>153000</v>
      </c>
      <c r="M14" s="193">
        <v>53826</v>
      </c>
      <c r="N14" s="1355">
        <f>SUM(L14:M14)</f>
        <v>206826</v>
      </c>
      <c r="O14" s="200">
        <v>18618</v>
      </c>
      <c r="P14" s="1361">
        <v>400</v>
      </c>
      <c r="Q14" s="200">
        <f t="shared" si="2"/>
        <v>171618</v>
      </c>
      <c r="R14" s="200">
        <f t="shared" si="3"/>
        <v>54226</v>
      </c>
      <c r="S14" s="1361">
        <f t="shared" si="4"/>
        <v>225844</v>
      </c>
    </row>
    <row r="15" spans="1:19" ht="12" customHeight="1" x14ac:dyDescent="0.2">
      <c r="A15" s="552">
        <f t="shared" si="0"/>
        <v>5</v>
      </c>
      <c r="B15" s="1391"/>
      <c r="C15" s="92"/>
      <c r="D15" s="92"/>
      <c r="E15" s="328"/>
      <c r="F15" s="92"/>
      <c r="G15" s="328"/>
      <c r="H15" s="193"/>
      <c r="I15" s="193"/>
      <c r="J15" s="339"/>
      <c r="K15" s="92"/>
      <c r="L15" s="1403"/>
      <c r="M15" s="1403"/>
      <c r="N15" s="339"/>
      <c r="O15" s="200"/>
      <c r="P15" s="1361"/>
      <c r="Q15" s="200"/>
      <c r="R15" s="200"/>
      <c r="S15" s="1361"/>
    </row>
    <row r="16" spans="1:19" x14ac:dyDescent="0.2">
      <c r="A16" s="552">
        <f t="shared" si="0"/>
        <v>6</v>
      </c>
      <c r="B16" s="118" t="s">
        <v>38</v>
      </c>
      <c r="C16" s="92"/>
      <c r="D16" s="92"/>
      <c r="E16" s="328">
        <f t="shared" si="1"/>
        <v>0</v>
      </c>
      <c r="F16" s="92"/>
      <c r="G16" s="328"/>
      <c r="H16" s="193"/>
      <c r="I16" s="193"/>
      <c r="J16" s="339"/>
      <c r="K16" s="92" t="s">
        <v>28</v>
      </c>
      <c r="L16" s="200"/>
      <c r="M16" s="200"/>
      <c r="N16" s="1361"/>
      <c r="O16" s="200"/>
      <c r="P16" s="1361"/>
      <c r="Q16" s="200"/>
      <c r="R16" s="200"/>
      <c r="S16" s="1361"/>
    </row>
    <row r="17" spans="1:19" x14ac:dyDescent="0.2">
      <c r="A17" s="552">
        <f t="shared" si="0"/>
        <v>7</v>
      </c>
      <c r="B17" s="118"/>
      <c r="C17" s="92"/>
      <c r="D17" s="92"/>
      <c r="E17" s="328"/>
      <c r="F17" s="92"/>
      <c r="G17" s="328"/>
      <c r="H17" s="193"/>
      <c r="I17" s="193"/>
      <c r="J17" s="339"/>
      <c r="K17" s="92" t="s">
        <v>30</v>
      </c>
      <c r="L17" s="200"/>
      <c r="M17" s="200"/>
      <c r="N17" s="1361"/>
      <c r="O17" s="200"/>
      <c r="P17" s="1361"/>
      <c r="Q17" s="200"/>
      <c r="R17" s="200"/>
      <c r="S17" s="1361"/>
    </row>
    <row r="18" spans="1:19" x14ac:dyDescent="0.2">
      <c r="A18" s="552">
        <f t="shared" si="0"/>
        <v>8</v>
      </c>
      <c r="B18" s="118" t="s">
        <v>39</v>
      </c>
      <c r="C18" s="92"/>
      <c r="D18" s="92"/>
      <c r="E18" s="328">
        <f t="shared" si="1"/>
        <v>0</v>
      </c>
      <c r="F18" s="92"/>
      <c r="G18" s="328"/>
      <c r="H18" s="193"/>
      <c r="I18" s="193"/>
      <c r="J18" s="339"/>
      <c r="K18" s="92" t="s">
        <v>447</v>
      </c>
      <c r="L18" s="200"/>
      <c r="M18" s="200"/>
      <c r="N18" s="1361"/>
      <c r="O18" s="200"/>
      <c r="P18" s="1361"/>
      <c r="Q18" s="200"/>
      <c r="R18" s="200"/>
      <c r="S18" s="1361"/>
    </row>
    <row r="19" spans="1:19" x14ac:dyDescent="0.2">
      <c r="A19" s="552">
        <f t="shared" si="0"/>
        <v>9</v>
      </c>
      <c r="B19" s="120" t="s">
        <v>40</v>
      </c>
      <c r="C19" s="1390"/>
      <c r="D19" s="1390"/>
      <c r="E19" s="1396"/>
      <c r="F19" s="1390"/>
      <c r="G19" s="1396"/>
      <c r="H19" s="193"/>
      <c r="I19" s="193"/>
      <c r="J19" s="339"/>
      <c r="K19" s="92" t="s">
        <v>446</v>
      </c>
      <c r="L19" s="200"/>
      <c r="M19" s="200"/>
      <c r="N19" s="1361"/>
      <c r="O19" s="200"/>
      <c r="P19" s="1361"/>
      <c r="Q19" s="200"/>
      <c r="R19" s="200"/>
      <c r="S19" s="1361"/>
    </row>
    <row r="20" spans="1:19" x14ac:dyDescent="0.2">
      <c r="A20" s="552">
        <f t="shared" si="0"/>
        <v>10</v>
      </c>
      <c r="B20" s="118" t="s">
        <v>195</v>
      </c>
      <c r="C20" s="1329">
        <v>85267</v>
      </c>
      <c r="D20" s="1329">
        <v>52284</v>
      </c>
      <c r="E20" s="1355">
        <f>SUM(C20:D20)</f>
        <v>137551</v>
      </c>
      <c r="F20" s="1329"/>
      <c r="G20" s="1355"/>
      <c r="H20" s="193">
        <f t="shared" ref="H15:H44" si="5">C20+F20</f>
        <v>85267</v>
      </c>
      <c r="I20" s="193">
        <f t="shared" ref="I15:I44" si="6">D20+G20</f>
        <v>52284</v>
      </c>
      <c r="J20" s="339">
        <f t="shared" ref="J15:J44" si="7">H20+I20</f>
        <v>137551</v>
      </c>
      <c r="K20" s="92" t="s">
        <v>191</v>
      </c>
      <c r="L20" s="200"/>
      <c r="M20" s="200"/>
      <c r="N20" s="1361"/>
      <c r="O20" s="200"/>
      <c r="P20" s="1361"/>
      <c r="Q20" s="200"/>
      <c r="R20" s="200"/>
      <c r="S20" s="1361"/>
    </row>
    <row r="21" spans="1:19" x14ac:dyDescent="0.2">
      <c r="A21" s="552">
        <f t="shared" si="0"/>
        <v>11</v>
      </c>
      <c r="B21" s="1330"/>
      <c r="C21" s="1390"/>
      <c r="D21" s="1390"/>
      <c r="E21" s="1396"/>
      <c r="F21" s="1390"/>
      <c r="G21" s="1396"/>
      <c r="H21" s="193"/>
      <c r="I21" s="193"/>
      <c r="J21" s="339"/>
      <c r="K21" s="92" t="s">
        <v>932</v>
      </c>
      <c r="L21" s="200"/>
      <c r="M21" s="200"/>
      <c r="N21" s="1361"/>
      <c r="O21" s="200"/>
      <c r="P21" s="1361"/>
      <c r="Q21" s="200"/>
      <c r="R21" s="200"/>
      <c r="S21" s="1361"/>
    </row>
    <row r="22" spans="1:19" s="97" customFormat="1" x14ac:dyDescent="0.2">
      <c r="A22" s="552">
        <f t="shared" si="0"/>
        <v>12</v>
      </c>
      <c r="B22" s="1330" t="s">
        <v>42</v>
      </c>
      <c r="C22" s="1390"/>
      <c r="D22" s="1390"/>
      <c r="E22" s="1396"/>
      <c r="F22" s="1390"/>
      <c r="G22" s="1396"/>
      <c r="H22" s="193"/>
      <c r="I22" s="193"/>
      <c r="J22" s="339"/>
      <c r="K22" s="92" t="s">
        <v>933</v>
      </c>
      <c r="L22" s="200"/>
      <c r="M22" s="200"/>
      <c r="N22" s="1361"/>
      <c r="O22" s="1393"/>
      <c r="P22" s="1398"/>
      <c r="Q22" s="200"/>
      <c r="R22" s="200"/>
      <c r="S22" s="1361"/>
    </row>
    <row r="23" spans="1:19" s="97" customFormat="1" x14ac:dyDescent="0.2">
      <c r="A23" s="552">
        <f t="shared" si="0"/>
        <v>13</v>
      </c>
      <c r="B23" s="1330" t="s">
        <v>43</v>
      </c>
      <c r="C23" s="1390"/>
      <c r="D23" s="1390"/>
      <c r="E23" s="1396"/>
      <c r="F23" s="1390"/>
      <c r="G23" s="1396"/>
      <c r="H23" s="193"/>
      <c r="I23" s="193"/>
      <c r="J23" s="339"/>
      <c r="K23" s="119"/>
      <c r="L23" s="200"/>
      <c r="M23" s="200"/>
      <c r="N23" s="1361"/>
      <c r="O23" s="1393"/>
      <c r="P23" s="1398"/>
      <c r="Q23" s="200"/>
      <c r="R23" s="200"/>
      <c r="S23" s="1361"/>
    </row>
    <row r="24" spans="1:19" x14ac:dyDescent="0.2">
      <c r="A24" s="552">
        <f t="shared" si="0"/>
        <v>14</v>
      </c>
      <c r="B24" s="118" t="s">
        <v>44</v>
      </c>
      <c r="C24" s="1392"/>
      <c r="D24" s="1392"/>
      <c r="E24" s="1397"/>
      <c r="F24" s="1392"/>
      <c r="G24" s="1397"/>
      <c r="H24" s="193"/>
      <c r="I24" s="193"/>
      <c r="J24" s="339"/>
      <c r="K24" s="1374" t="s">
        <v>66</v>
      </c>
      <c r="L24" s="1349">
        <f>SUM(L12:L22)</f>
        <v>406561</v>
      </c>
      <c r="M24" s="1349">
        <f>SUM(M12:M22)</f>
        <v>115442</v>
      </c>
      <c r="N24" s="1362">
        <f>SUM(N12:N22)</f>
        <v>522003</v>
      </c>
      <c r="O24" s="1349">
        <f>SUM(O12:O23)</f>
        <v>18618</v>
      </c>
      <c r="P24" s="1349">
        <f>SUM(P12:P23)</f>
        <v>750</v>
      </c>
      <c r="Q24" s="1711">
        <f t="shared" si="2"/>
        <v>425179</v>
      </c>
      <c r="R24" s="1349">
        <f t="shared" si="3"/>
        <v>116192</v>
      </c>
      <c r="S24" s="1362">
        <f t="shared" si="4"/>
        <v>541371</v>
      </c>
    </row>
    <row r="25" spans="1:19" x14ac:dyDescent="0.2">
      <c r="A25" s="552">
        <f t="shared" si="0"/>
        <v>15</v>
      </c>
      <c r="B25" s="118" t="s">
        <v>45</v>
      </c>
      <c r="C25" s="1390"/>
      <c r="D25" s="1390"/>
      <c r="E25" s="1396"/>
      <c r="F25" s="1390"/>
      <c r="G25" s="1396">
        <v>1285</v>
      </c>
      <c r="H25" s="193">
        <f t="shared" si="5"/>
        <v>0</v>
      </c>
      <c r="I25" s="193">
        <f t="shared" si="6"/>
        <v>1285</v>
      </c>
      <c r="J25" s="339">
        <f t="shared" si="7"/>
        <v>1285</v>
      </c>
      <c r="K25" s="119"/>
      <c r="L25" s="200"/>
      <c r="M25" s="200"/>
      <c r="N25" s="1361"/>
      <c r="O25" s="200"/>
      <c r="P25" s="1361"/>
      <c r="Q25" s="200"/>
      <c r="R25" s="200"/>
      <c r="S25" s="1361"/>
    </row>
    <row r="26" spans="1:19" x14ac:dyDescent="0.2">
      <c r="A26" s="552">
        <f t="shared" si="0"/>
        <v>16</v>
      </c>
      <c r="B26" s="118" t="s">
        <v>46</v>
      </c>
      <c r="C26" s="1337"/>
      <c r="D26" s="1337"/>
      <c r="E26" s="360"/>
      <c r="F26" s="1337"/>
      <c r="G26" s="360"/>
      <c r="H26" s="193"/>
      <c r="I26" s="193"/>
      <c r="J26" s="339"/>
      <c r="K26" s="1337" t="s">
        <v>34</v>
      </c>
      <c r="L26" s="1336"/>
      <c r="M26" s="1336"/>
      <c r="N26" s="1361"/>
      <c r="O26" s="200"/>
      <c r="P26" s="1361"/>
      <c r="Q26" s="200"/>
      <c r="R26" s="200"/>
      <c r="S26" s="1361"/>
    </row>
    <row r="27" spans="1:19" x14ac:dyDescent="0.2">
      <c r="A27" s="552">
        <f t="shared" si="0"/>
        <v>17</v>
      </c>
      <c r="B27" s="118" t="s">
        <v>47</v>
      </c>
      <c r="C27" s="92"/>
      <c r="D27" s="92"/>
      <c r="E27" s="328"/>
      <c r="F27" s="92"/>
      <c r="G27" s="328"/>
      <c r="H27" s="193"/>
      <c r="I27" s="193"/>
      <c r="J27" s="339"/>
      <c r="K27" s="92" t="s">
        <v>274</v>
      </c>
      <c r="L27" s="200">
        <f>'felhalm. kiad.  '!M108</f>
        <v>0</v>
      </c>
      <c r="M27" s="200">
        <f>'felhalm. kiad.  '!P108</f>
        <v>37000</v>
      </c>
      <c r="N27" s="1361">
        <f>SUM(L27:M27)</f>
        <v>37000</v>
      </c>
      <c r="O27" s="200"/>
      <c r="P27" s="1361">
        <v>-400</v>
      </c>
      <c r="Q27" s="200">
        <f t="shared" si="2"/>
        <v>0</v>
      </c>
      <c r="R27" s="200">
        <f t="shared" si="3"/>
        <v>36600</v>
      </c>
      <c r="S27" s="1361">
        <f t="shared" si="4"/>
        <v>36600</v>
      </c>
    </row>
    <row r="28" spans="1:19" x14ac:dyDescent="0.2">
      <c r="A28" s="552">
        <f t="shared" si="0"/>
        <v>18</v>
      </c>
      <c r="B28" s="118"/>
      <c r="C28" s="92"/>
      <c r="D28" s="92"/>
      <c r="E28" s="328"/>
      <c r="F28" s="92"/>
      <c r="G28" s="328"/>
      <c r="H28" s="193"/>
      <c r="I28" s="193"/>
      <c r="J28" s="339"/>
      <c r="K28" s="92" t="s">
        <v>31</v>
      </c>
      <c r="L28" s="200"/>
      <c r="M28" s="200"/>
      <c r="N28" s="1361"/>
      <c r="O28" s="200"/>
      <c r="P28" s="1361"/>
      <c r="Q28" s="200"/>
      <c r="R28" s="200"/>
      <c r="S28" s="1361"/>
    </row>
    <row r="29" spans="1:19" x14ac:dyDescent="0.2">
      <c r="A29" s="552">
        <f t="shared" si="0"/>
        <v>19</v>
      </c>
      <c r="B29" s="1330" t="s">
        <v>50</v>
      </c>
      <c r="C29" s="92"/>
      <c r="D29" s="92"/>
      <c r="E29" s="328"/>
      <c r="F29" s="92"/>
      <c r="G29" s="328"/>
      <c r="H29" s="193"/>
      <c r="I29" s="193"/>
      <c r="J29" s="339"/>
      <c r="K29" s="92" t="s">
        <v>32</v>
      </c>
      <c r="L29" s="200"/>
      <c r="M29" s="200"/>
      <c r="N29" s="1361"/>
      <c r="O29" s="200"/>
      <c r="P29" s="1361"/>
      <c r="Q29" s="200"/>
      <c r="R29" s="200"/>
      <c r="S29" s="1361"/>
    </row>
    <row r="30" spans="1:19" s="97" customFormat="1" x14ac:dyDescent="0.2">
      <c r="A30" s="552">
        <f t="shared" si="0"/>
        <v>20</v>
      </c>
      <c r="B30" s="1330" t="s">
        <v>48</v>
      </c>
      <c r="C30" s="92"/>
      <c r="D30" s="92"/>
      <c r="E30" s="328"/>
      <c r="F30" s="92"/>
      <c r="G30" s="328"/>
      <c r="H30" s="193"/>
      <c r="I30" s="193"/>
      <c r="J30" s="339"/>
      <c r="K30" s="92" t="s">
        <v>448</v>
      </c>
      <c r="L30" s="200"/>
      <c r="M30" s="200"/>
      <c r="N30" s="1361"/>
      <c r="O30" s="1393"/>
      <c r="P30" s="1398"/>
      <c r="Q30" s="200"/>
      <c r="R30" s="200"/>
      <c r="S30" s="1361"/>
    </row>
    <row r="31" spans="1:19" x14ac:dyDescent="0.2">
      <c r="A31" s="552">
        <f t="shared" si="0"/>
        <v>21</v>
      </c>
      <c r="B31" s="1330"/>
      <c r="C31" s="92"/>
      <c r="D31" s="92"/>
      <c r="E31" s="328"/>
      <c r="F31" s="92"/>
      <c r="G31" s="328"/>
      <c r="H31" s="193"/>
      <c r="I31" s="193"/>
      <c r="J31" s="339"/>
      <c r="K31" s="92" t="s">
        <v>445</v>
      </c>
      <c r="L31" s="200"/>
      <c r="M31" s="200"/>
      <c r="N31" s="1361"/>
      <c r="O31" s="200"/>
      <c r="P31" s="1361"/>
      <c r="Q31" s="200"/>
      <c r="R31" s="200"/>
      <c r="S31" s="1361"/>
    </row>
    <row r="32" spans="1:19" s="10" customFormat="1" x14ac:dyDescent="0.2">
      <c r="A32" s="552">
        <f t="shared" si="0"/>
        <v>22</v>
      </c>
      <c r="B32" s="1333" t="s">
        <v>52</v>
      </c>
      <c r="C32" s="1723">
        <f>C14+C20</f>
        <v>85267</v>
      </c>
      <c r="D32" s="1723">
        <f>D14+D20</f>
        <v>52849</v>
      </c>
      <c r="E32" s="1724">
        <f>E14+E20</f>
        <v>138116</v>
      </c>
      <c r="F32" s="1725">
        <f t="shared" ref="F32:G32" si="8">F14+F20</f>
        <v>0</v>
      </c>
      <c r="G32" s="1724">
        <f t="shared" si="8"/>
        <v>350</v>
      </c>
      <c r="H32" s="1349">
        <f t="shared" si="5"/>
        <v>85267</v>
      </c>
      <c r="I32" s="1349">
        <f t="shared" si="6"/>
        <v>53199</v>
      </c>
      <c r="J32" s="1362">
        <f t="shared" si="7"/>
        <v>138466</v>
      </c>
      <c r="K32" s="92" t="s">
        <v>441</v>
      </c>
      <c r="L32" s="200"/>
      <c r="M32" s="200"/>
      <c r="N32" s="1361"/>
      <c r="O32" s="1336"/>
      <c r="P32" s="1356"/>
      <c r="Q32" s="200"/>
      <c r="R32" s="200"/>
      <c r="S32" s="1361"/>
    </row>
    <row r="33" spans="1:19" x14ac:dyDescent="0.2">
      <c r="A33" s="552">
        <f t="shared" si="0"/>
        <v>23</v>
      </c>
      <c r="B33" s="1376" t="s">
        <v>67</v>
      </c>
      <c r="C33" s="1394"/>
      <c r="D33" s="1394"/>
      <c r="E33" s="1401"/>
      <c r="F33" s="1721">
        <f>F16+F23+F24+F25+F26+F27+F30</f>
        <v>0</v>
      </c>
      <c r="G33" s="1394">
        <f t="shared" ref="G33:J33" si="9">G16+G23+G24+G25+G26+G27+G30</f>
        <v>1285</v>
      </c>
      <c r="H33" s="1721">
        <f t="shared" si="9"/>
        <v>0</v>
      </c>
      <c r="I33" s="1394">
        <f t="shared" si="9"/>
        <v>1285</v>
      </c>
      <c r="J33" s="1401">
        <f t="shared" si="9"/>
        <v>1285</v>
      </c>
      <c r="K33" s="1392" t="s">
        <v>68</v>
      </c>
      <c r="L33" s="1393">
        <f>SUM(L27:L32)</f>
        <v>0</v>
      </c>
      <c r="M33" s="1393">
        <f>SUM(M27:M32)</f>
        <v>37000</v>
      </c>
      <c r="N33" s="1398">
        <f>SUM(N27:N31)</f>
        <v>37000</v>
      </c>
      <c r="O33" s="1393">
        <f>SUM(O27:O32)</f>
        <v>0</v>
      </c>
      <c r="P33" s="1398">
        <f>SUM(P27:P32)</f>
        <v>-400</v>
      </c>
      <c r="Q33" s="1393">
        <f>L33+O33</f>
        <v>0</v>
      </c>
      <c r="R33" s="1393">
        <f t="shared" si="3"/>
        <v>36600</v>
      </c>
      <c r="S33" s="1398">
        <f t="shared" si="4"/>
        <v>36600</v>
      </c>
    </row>
    <row r="34" spans="1:19" x14ac:dyDescent="0.2">
      <c r="A34" s="552">
        <f t="shared" si="0"/>
        <v>24</v>
      </c>
      <c r="B34" s="123" t="s">
        <v>51</v>
      </c>
      <c r="C34" s="121">
        <f>SUM(C32:C33)</f>
        <v>85267</v>
      </c>
      <c r="D34" s="121">
        <f>SUM(D32:D33)</f>
        <v>52849</v>
      </c>
      <c r="E34" s="1354">
        <f>SUM(C34:D34)</f>
        <v>138116</v>
      </c>
      <c r="F34" s="1719">
        <f>F32+F33</f>
        <v>0</v>
      </c>
      <c r="G34" s="121">
        <f t="shared" ref="G34:J34" si="10">G32+G33</f>
        <v>1635</v>
      </c>
      <c r="H34" s="1719">
        <f t="shared" si="10"/>
        <v>85267</v>
      </c>
      <c r="I34" s="121">
        <f t="shared" si="10"/>
        <v>54484</v>
      </c>
      <c r="J34" s="1354">
        <f t="shared" si="10"/>
        <v>139751</v>
      </c>
      <c r="K34" s="121" t="s">
        <v>69</v>
      </c>
      <c r="L34" s="1336">
        <f>L24+L33</f>
        <v>406561</v>
      </c>
      <c r="M34" s="1336">
        <f>M24+M33</f>
        <v>152442</v>
      </c>
      <c r="N34" s="1356">
        <f>N24+N33</f>
        <v>559003</v>
      </c>
      <c r="O34" s="1336">
        <f>O33+O24</f>
        <v>18618</v>
      </c>
      <c r="P34" s="1356">
        <f t="shared" ref="P34:S34" si="11">P33+P24</f>
        <v>350</v>
      </c>
      <c r="Q34" s="1336">
        <f t="shared" si="11"/>
        <v>425179</v>
      </c>
      <c r="R34" s="1336">
        <f t="shared" si="11"/>
        <v>152792</v>
      </c>
      <c r="S34" s="1356">
        <f t="shared" si="11"/>
        <v>577971</v>
      </c>
    </row>
    <row r="35" spans="1:19" x14ac:dyDescent="0.2">
      <c r="A35" s="552">
        <f t="shared" si="0"/>
        <v>25</v>
      </c>
      <c r="B35" s="1330"/>
      <c r="C35" s="119"/>
      <c r="D35" s="119"/>
      <c r="E35" s="327"/>
      <c r="F35" s="1722"/>
      <c r="G35" s="327"/>
      <c r="H35" s="345"/>
      <c r="I35" s="193"/>
      <c r="J35" s="339"/>
      <c r="K35" s="119"/>
      <c r="L35" s="200"/>
      <c r="M35" s="200"/>
      <c r="N35" s="1361"/>
      <c r="O35" s="200"/>
      <c r="P35" s="1361"/>
      <c r="Q35" s="200"/>
      <c r="R35" s="200"/>
      <c r="S35" s="1361"/>
    </row>
    <row r="36" spans="1:19" x14ac:dyDescent="0.2">
      <c r="A36" s="552">
        <f t="shared" si="0"/>
        <v>26</v>
      </c>
      <c r="B36" s="1330"/>
      <c r="C36" s="119"/>
      <c r="D36" s="119"/>
      <c r="E36" s="327"/>
      <c r="F36" s="1722"/>
      <c r="G36" s="327"/>
      <c r="H36" s="193"/>
      <c r="I36" s="193"/>
      <c r="J36" s="339"/>
      <c r="K36" s="1374"/>
      <c r="L36" s="1349"/>
      <c r="M36" s="1349"/>
      <c r="N36" s="1362"/>
      <c r="O36" s="200"/>
      <c r="P36" s="1361"/>
      <c r="Q36" s="200"/>
      <c r="R36" s="200"/>
      <c r="S36" s="1361"/>
    </row>
    <row r="37" spans="1:19" s="10" customFormat="1" x14ac:dyDescent="0.2">
      <c r="A37" s="552">
        <f t="shared" si="0"/>
        <v>27</v>
      </c>
      <c r="B37" s="1330"/>
      <c r="C37" s="119"/>
      <c r="D37" s="119"/>
      <c r="E37" s="327"/>
      <c r="F37" s="1722"/>
      <c r="G37" s="327"/>
      <c r="H37" s="193"/>
      <c r="I37" s="193"/>
      <c r="J37" s="339"/>
      <c r="K37" s="119"/>
      <c r="L37" s="200"/>
      <c r="M37" s="200"/>
      <c r="N37" s="1361"/>
      <c r="O37" s="1336"/>
      <c r="P37" s="1356"/>
      <c r="Q37" s="200"/>
      <c r="R37" s="200"/>
      <c r="S37" s="1361"/>
    </row>
    <row r="38" spans="1:19" s="10" customFormat="1" x14ac:dyDescent="0.2">
      <c r="A38" s="552">
        <f t="shared" si="0"/>
        <v>28</v>
      </c>
      <c r="B38" s="1337" t="s">
        <v>53</v>
      </c>
      <c r="C38" s="1337"/>
      <c r="D38" s="1337"/>
      <c r="E38" s="360"/>
      <c r="F38" s="1337"/>
      <c r="G38" s="360"/>
      <c r="H38" s="193"/>
      <c r="I38" s="193"/>
      <c r="J38" s="339"/>
      <c r="K38" s="1337" t="s">
        <v>33</v>
      </c>
      <c r="L38" s="1336"/>
      <c r="M38" s="1336"/>
      <c r="N38" s="1356"/>
      <c r="O38" s="1336"/>
      <c r="P38" s="1356"/>
      <c r="Q38" s="200"/>
      <c r="R38" s="200"/>
      <c r="S38" s="1361"/>
    </row>
    <row r="39" spans="1:19" s="10" customFormat="1" x14ac:dyDescent="0.2">
      <c r="A39" s="552">
        <f t="shared" si="0"/>
        <v>29</v>
      </c>
      <c r="B39" s="1338" t="s">
        <v>685</v>
      </c>
      <c r="C39" s="1337"/>
      <c r="D39" s="1337"/>
      <c r="E39" s="360"/>
      <c r="F39" s="1718"/>
      <c r="G39" s="360"/>
      <c r="H39" s="193"/>
      <c r="I39" s="193"/>
      <c r="J39" s="339"/>
      <c r="K39" s="1338" t="s">
        <v>4</v>
      </c>
      <c r="L39" s="1336"/>
      <c r="M39" s="1350"/>
      <c r="N39" s="1363"/>
      <c r="O39" s="1336"/>
      <c r="P39" s="1356"/>
      <c r="Q39" s="200"/>
      <c r="R39" s="200"/>
      <c r="S39" s="1361"/>
    </row>
    <row r="40" spans="1:19" s="10" customFormat="1" x14ac:dyDescent="0.2">
      <c r="A40" s="552">
        <f t="shared" si="0"/>
        <v>30</v>
      </c>
      <c r="B40" s="118" t="s">
        <v>963</v>
      </c>
      <c r="C40" s="1337"/>
      <c r="D40" s="1337"/>
      <c r="E40" s="360"/>
      <c r="F40" s="1337"/>
      <c r="G40" s="360"/>
      <c r="H40" s="193"/>
      <c r="I40" s="193"/>
      <c r="J40" s="339"/>
      <c r="K40" s="118" t="s">
        <v>3</v>
      </c>
      <c r="L40" s="1336"/>
      <c r="M40" s="1336"/>
      <c r="N40" s="1356"/>
      <c r="O40" s="1336"/>
      <c r="P40" s="1356"/>
      <c r="Q40" s="200"/>
      <c r="R40" s="200"/>
      <c r="S40" s="1361"/>
    </row>
    <row r="41" spans="1:19" x14ac:dyDescent="0.2">
      <c r="A41" s="552">
        <f t="shared" si="0"/>
        <v>31</v>
      </c>
      <c r="B41" s="92" t="s">
        <v>687</v>
      </c>
      <c r="C41" s="1395"/>
      <c r="D41" s="1395"/>
      <c r="E41" s="1399"/>
      <c r="F41" s="1395"/>
      <c r="G41" s="1399"/>
      <c r="H41" s="193"/>
      <c r="I41" s="193"/>
      <c r="J41" s="339"/>
      <c r="K41" s="92" t="s">
        <v>5</v>
      </c>
      <c r="L41" s="1336"/>
      <c r="M41" s="1336"/>
      <c r="N41" s="1356"/>
      <c r="O41" s="200"/>
      <c r="P41" s="1361"/>
      <c r="Q41" s="200"/>
      <c r="R41" s="200"/>
      <c r="S41" s="1361"/>
    </row>
    <row r="42" spans="1:19" x14ac:dyDescent="0.2">
      <c r="A42" s="552">
        <f t="shared" si="0"/>
        <v>32</v>
      </c>
      <c r="B42" s="92" t="s">
        <v>208</v>
      </c>
      <c r="C42" s="92"/>
      <c r="D42" s="92"/>
      <c r="E42" s="328"/>
      <c r="F42" s="92"/>
      <c r="G42" s="328"/>
      <c r="H42" s="193"/>
      <c r="I42" s="193"/>
      <c r="J42" s="339"/>
      <c r="K42" s="92" t="s">
        <v>6</v>
      </c>
      <c r="L42" s="1336"/>
      <c r="M42" s="1336"/>
      <c r="N42" s="1356"/>
      <c r="O42" s="200"/>
      <c r="P42" s="1361"/>
      <c r="Q42" s="200"/>
      <c r="R42" s="200"/>
      <c r="S42" s="1361"/>
    </row>
    <row r="43" spans="1:19" x14ac:dyDescent="0.2">
      <c r="A43" s="552">
        <f t="shared" si="0"/>
        <v>33</v>
      </c>
      <c r="B43" s="1345" t="s">
        <v>273</v>
      </c>
      <c r="C43" s="92">
        <v>0</v>
      </c>
      <c r="D43" s="92"/>
      <c r="E43" s="328">
        <f>C43+D43</f>
        <v>0</v>
      </c>
      <c r="F43" s="92">
        <v>2162</v>
      </c>
      <c r="G43" s="328"/>
      <c r="H43" s="193">
        <f t="shared" si="5"/>
        <v>2162</v>
      </c>
      <c r="I43" s="193">
        <f t="shared" si="6"/>
        <v>0</v>
      </c>
      <c r="J43" s="339">
        <f t="shared" si="7"/>
        <v>2162</v>
      </c>
      <c r="K43" s="92" t="s">
        <v>7</v>
      </c>
      <c r="L43" s="1336"/>
      <c r="M43" s="1336"/>
      <c r="N43" s="1356"/>
      <c r="O43" s="200"/>
      <c r="P43" s="1361"/>
      <c r="Q43" s="200"/>
      <c r="R43" s="200"/>
      <c r="S43" s="1361"/>
    </row>
    <row r="44" spans="1:19" x14ac:dyDescent="0.2">
      <c r="A44" s="552">
        <f t="shared" si="0"/>
        <v>34</v>
      </c>
      <c r="B44" s="1345" t="s">
        <v>961</v>
      </c>
      <c r="C44" s="92"/>
      <c r="D44" s="92"/>
      <c r="E44" s="328"/>
      <c r="F44" s="92"/>
      <c r="G44" s="328"/>
      <c r="H44" s="193"/>
      <c r="I44" s="193"/>
      <c r="J44" s="339"/>
      <c r="K44" s="92"/>
      <c r="L44" s="1336"/>
      <c r="M44" s="1336"/>
      <c r="N44" s="1356"/>
      <c r="O44" s="200"/>
      <c r="P44" s="1361"/>
      <c r="Q44" s="200"/>
      <c r="R44" s="200"/>
      <c r="S44" s="1361"/>
    </row>
    <row r="45" spans="1:19" x14ac:dyDescent="0.2">
      <c r="A45" s="552">
        <f t="shared" si="0"/>
        <v>35</v>
      </c>
      <c r="B45" s="92" t="s">
        <v>688</v>
      </c>
      <c r="C45" s="92"/>
      <c r="D45" s="92"/>
      <c r="E45" s="328"/>
      <c r="F45" s="92"/>
      <c r="G45" s="328"/>
      <c r="H45" s="92"/>
      <c r="I45" s="92"/>
      <c r="J45" s="328"/>
      <c r="K45" s="92" t="s">
        <v>8</v>
      </c>
      <c r="L45" s="1336"/>
      <c r="M45" s="1336"/>
      <c r="N45" s="1361"/>
      <c r="O45" s="200"/>
      <c r="P45" s="1361"/>
      <c r="Q45" s="200"/>
      <c r="R45" s="200"/>
      <c r="S45" s="1361"/>
    </row>
    <row r="46" spans="1:19" x14ac:dyDescent="0.2">
      <c r="A46" s="552">
        <f t="shared" si="0"/>
        <v>36</v>
      </c>
      <c r="B46" s="92" t="s">
        <v>689</v>
      </c>
      <c r="C46" s="1337"/>
      <c r="D46" s="1337"/>
      <c r="E46" s="360"/>
      <c r="F46" s="1337"/>
      <c r="G46" s="360"/>
      <c r="H46" s="1337"/>
      <c r="I46" s="1337"/>
      <c r="J46" s="360"/>
      <c r="K46" s="92" t="s">
        <v>9</v>
      </c>
      <c r="L46" s="1336"/>
      <c r="M46" s="1336"/>
      <c r="N46" s="1361"/>
      <c r="O46" s="200"/>
      <c r="P46" s="1361"/>
      <c r="Q46" s="200"/>
      <c r="R46" s="200"/>
      <c r="S46" s="1361"/>
    </row>
    <row r="47" spans="1:19" x14ac:dyDescent="0.2">
      <c r="A47" s="552">
        <f t="shared" si="0"/>
        <v>37</v>
      </c>
      <c r="B47" s="92" t="s">
        <v>212</v>
      </c>
      <c r="C47" s="92"/>
      <c r="D47" s="92"/>
      <c r="E47" s="328"/>
      <c r="F47" s="92"/>
      <c r="G47" s="328"/>
      <c r="H47" s="92"/>
      <c r="I47" s="92"/>
      <c r="J47" s="328"/>
      <c r="K47" s="92" t="s">
        <v>10</v>
      </c>
      <c r="L47" s="200"/>
      <c r="M47" s="200"/>
      <c r="N47" s="1361"/>
      <c r="O47" s="200"/>
      <c r="P47" s="1361"/>
      <c r="Q47" s="200"/>
      <c r="R47" s="200"/>
      <c r="S47" s="1361"/>
    </row>
    <row r="48" spans="1:19" x14ac:dyDescent="0.2">
      <c r="A48" s="552">
        <f t="shared" si="0"/>
        <v>38</v>
      </c>
      <c r="B48" s="1345" t="s">
        <v>213</v>
      </c>
      <c r="C48" s="92">
        <f>L24-(C34+C43)</f>
        <v>321294</v>
      </c>
      <c r="D48" s="92">
        <f>M24-(D34+D43)</f>
        <v>62593</v>
      </c>
      <c r="E48" s="328">
        <f>N24-(E34+E43)</f>
        <v>383887</v>
      </c>
      <c r="F48" s="102">
        <f t="shared" ref="F48:J48" si="12">O24-(F34+F43)</f>
        <v>16456</v>
      </c>
      <c r="G48" s="328">
        <v>400</v>
      </c>
      <c r="H48" s="102">
        <f t="shared" si="12"/>
        <v>337750</v>
      </c>
      <c r="I48" s="92">
        <f>D48+G48</f>
        <v>62993</v>
      </c>
      <c r="J48" s="328">
        <f>H48+I48</f>
        <v>400743</v>
      </c>
      <c r="K48" s="92" t="s">
        <v>11</v>
      </c>
      <c r="L48" s="200"/>
      <c r="M48" s="200"/>
      <c r="N48" s="1361"/>
      <c r="O48" s="200"/>
      <c r="P48" s="1361"/>
      <c r="Q48" s="200"/>
      <c r="R48" s="200"/>
      <c r="S48" s="1361"/>
    </row>
    <row r="49" spans="1:19" x14ac:dyDescent="0.2">
      <c r="A49" s="552">
        <f t="shared" si="0"/>
        <v>39</v>
      </c>
      <c r="B49" s="1345" t="s">
        <v>214</v>
      </c>
      <c r="C49" s="92">
        <f>L33-C33</f>
        <v>0</v>
      </c>
      <c r="D49" s="92">
        <f>M33-D33</f>
        <v>37000</v>
      </c>
      <c r="E49" s="328">
        <f>N33-E33</f>
        <v>37000</v>
      </c>
      <c r="F49" s="102">
        <f t="shared" ref="F49:J49" si="13">O33-F33</f>
        <v>0</v>
      </c>
      <c r="G49" s="328">
        <f t="shared" si="13"/>
        <v>-1685</v>
      </c>
      <c r="H49" s="102">
        <f t="shared" si="13"/>
        <v>0</v>
      </c>
      <c r="I49" s="92">
        <f t="shared" si="13"/>
        <v>35315</v>
      </c>
      <c r="J49" s="328">
        <f t="shared" si="13"/>
        <v>35315</v>
      </c>
      <c r="K49" s="92" t="s">
        <v>12</v>
      </c>
      <c r="L49" s="200"/>
      <c r="M49" s="200"/>
      <c r="N49" s="1361"/>
      <c r="O49" s="200"/>
      <c r="P49" s="1361"/>
      <c r="Q49" s="200"/>
      <c r="R49" s="200"/>
      <c r="S49" s="1361"/>
    </row>
    <row r="50" spans="1:19" x14ac:dyDescent="0.2">
      <c r="A50" s="552">
        <f t="shared" si="0"/>
        <v>40</v>
      </c>
      <c r="B50" s="92" t="s">
        <v>1</v>
      </c>
      <c r="C50" s="92"/>
      <c r="D50" s="92"/>
      <c r="E50" s="328"/>
      <c r="F50" s="102"/>
      <c r="G50" s="328"/>
      <c r="H50" s="102"/>
      <c r="I50" s="92"/>
      <c r="J50" s="328"/>
      <c r="K50" s="92" t="s">
        <v>13</v>
      </c>
      <c r="L50" s="200"/>
      <c r="M50" s="200"/>
      <c r="N50" s="1361"/>
      <c r="O50" s="200"/>
      <c r="P50" s="1361"/>
      <c r="Q50" s="200"/>
      <c r="R50" s="200"/>
      <c r="S50" s="1361"/>
    </row>
    <row r="51" spans="1:19" x14ac:dyDescent="0.2">
      <c r="A51" s="552">
        <f t="shared" si="0"/>
        <v>41</v>
      </c>
      <c r="B51" s="92"/>
      <c r="C51" s="92"/>
      <c r="D51" s="92"/>
      <c r="E51" s="328"/>
      <c r="F51" s="92"/>
      <c r="G51" s="328"/>
      <c r="H51" s="92"/>
      <c r="I51" s="92"/>
      <c r="J51" s="328"/>
      <c r="K51" s="92" t="s">
        <v>14</v>
      </c>
      <c r="L51" s="200"/>
      <c r="M51" s="200"/>
      <c r="N51" s="1361"/>
      <c r="O51" s="200"/>
      <c r="P51" s="1361"/>
      <c r="Q51" s="200"/>
      <c r="R51" s="200"/>
      <c r="S51" s="1361"/>
    </row>
    <row r="52" spans="1:19" x14ac:dyDescent="0.2">
      <c r="A52" s="552">
        <f t="shared" si="0"/>
        <v>42</v>
      </c>
      <c r="B52" s="92"/>
      <c r="C52" s="92"/>
      <c r="D52" s="92"/>
      <c r="E52" s="328"/>
      <c r="F52" s="92"/>
      <c r="G52" s="328"/>
      <c r="H52" s="92"/>
      <c r="I52" s="92"/>
      <c r="J52" s="328"/>
      <c r="K52" s="92" t="s">
        <v>15</v>
      </c>
      <c r="L52" s="200"/>
      <c r="M52" s="200"/>
      <c r="N52" s="1361"/>
      <c r="O52" s="200"/>
      <c r="P52" s="1361"/>
      <c r="Q52" s="200"/>
      <c r="R52" s="200"/>
      <c r="S52" s="1361"/>
    </row>
    <row r="53" spans="1:19" ht="12" thickBot="1" x14ac:dyDescent="0.25">
      <c r="A53" s="552">
        <f t="shared" si="0"/>
        <v>43</v>
      </c>
      <c r="B53" s="123" t="s">
        <v>449</v>
      </c>
      <c r="C53" s="1337">
        <f>SUM(C39:C51)</f>
        <v>321294</v>
      </c>
      <c r="D53" s="1337">
        <f>SUM(D39:D51)</f>
        <v>99593</v>
      </c>
      <c r="E53" s="360">
        <f>SUM(E39:E51)</f>
        <v>420887</v>
      </c>
      <c r="F53" s="1337">
        <f>SUM(F43:F52)</f>
        <v>18618</v>
      </c>
      <c r="G53" s="360">
        <f>SUM(G43:G52)</f>
        <v>-1285</v>
      </c>
      <c r="H53" s="1337">
        <f>SUM(H43:H52)</f>
        <v>339912</v>
      </c>
      <c r="I53" s="1337">
        <f>SUM(I43:I52)</f>
        <v>98308</v>
      </c>
      <c r="J53" s="360">
        <f>SUM(J43:J52)</f>
        <v>438220</v>
      </c>
      <c r="K53" s="1337" t="s">
        <v>442</v>
      </c>
      <c r="L53" s="1336">
        <f>SUM(L39:L52)</f>
        <v>0</v>
      </c>
      <c r="M53" s="1336">
        <f>SUM(M39:M52)</f>
        <v>0</v>
      </c>
      <c r="N53" s="1356">
        <f>SUM(N39:N52)</f>
        <v>0</v>
      </c>
      <c r="O53" s="200"/>
      <c r="P53" s="1361"/>
      <c r="Q53" s="1336">
        <f t="shared" si="2"/>
        <v>0</v>
      </c>
      <c r="R53" s="1336">
        <f t="shared" si="3"/>
        <v>0</v>
      </c>
      <c r="S53" s="1356">
        <f t="shared" si="4"/>
        <v>0</v>
      </c>
    </row>
    <row r="54" spans="1:19" ht="12" thickBot="1" x14ac:dyDescent="0.25">
      <c r="A54" s="684">
        <f t="shared" si="0"/>
        <v>44</v>
      </c>
      <c r="B54" s="683" t="s">
        <v>444</v>
      </c>
      <c r="C54" s="675">
        <f>C34+C53</f>
        <v>406561</v>
      </c>
      <c r="D54" s="675">
        <f>D34+D53</f>
        <v>152442</v>
      </c>
      <c r="E54" s="675">
        <f>E34+E53</f>
        <v>559003</v>
      </c>
      <c r="F54" s="1402">
        <f>F34+F53</f>
        <v>18618</v>
      </c>
      <c r="G54" s="1402">
        <f t="shared" ref="G54:J54" si="14">G34+G53</f>
        <v>350</v>
      </c>
      <c r="H54" s="1402">
        <f t="shared" si="14"/>
        <v>425179</v>
      </c>
      <c r="I54" s="1402">
        <f t="shared" si="14"/>
        <v>152792</v>
      </c>
      <c r="J54" s="1402">
        <f t="shared" si="14"/>
        <v>577971</v>
      </c>
      <c r="K54" s="683" t="s">
        <v>443</v>
      </c>
      <c r="L54" s="682">
        <f>L34+L53</f>
        <v>406561</v>
      </c>
      <c r="M54" s="682">
        <f>M34+M53</f>
        <v>152442</v>
      </c>
      <c r="N54" s="682">
        <f>N34+N53</f>
        <v>559003</v>
      </c>
      <c r="O54" s="682">
        <f>O34+O53</f>
        <v>18618</v>
      </c>
      <c r="P54" s="682">
        <f t="shared" ref="P54:S54" si="15">P34+P53</f>
        <v>350</v>
      </c>
      <c r="Q54" s="682">
        <f t="shared" si="15"/>
        <v>425179</v>
      </c>
      <c r="R54" s="682">
        <f t="shared" si="15"/>
        <v>152792</v>
      </c>
      <c r="S54" s="682">
        <f t="shared" si="15"/>
        <v>577971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8"/>
      <c r="M55" s="128"/>
      <c r="N55" s="128"/>
    </row>
  </sheetData>
  <sheetProtection selectLockedCells="1" selectUnlockedCells="1"/>
  <mergeCells count="16">
    <mergeCell ref="A8:A10"/>
    <mergeCell ref="B8:B9"/>
    <mergeCell ref="C9:E9"/>
    <mergeCell ref="L9:N9"/>
    <mergeCell ref="O9:P9"/>
    <mergeCell ref="Q9:S9"/>
    <mergeCell ref="L8:S8"/>
    <mergeCell ref="K8:K9"/>
    <mergeCell ref="F9:G9"/>
    <mergeCell ref="H9:J9"/>
    <mergeCell ref="C8:J8"/>
    <mergeCell ref="B5:S5"/>
    <mergeCell ref="B4:S4"/>
    <mergeCell ref="B1:S1"/>
    <mergeCell ref="B6:S6"/>
    <mergeCell ref="B7:S7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85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AD46"/>
  <sheetViews>
    <sheetView zoomScale="120" workbookViewId="0">
      <selection activeCell="H16" sqref="H16"/>
    </sheetView>
  </sheetViews>
  <sheetFormatPr defaultColWidth="9.140625" defaultRowHeight="11.25" x14ac:dyDescent="0.2"/>
  <cols>
    <col min="1" max="1" width="4.85546875" style="113" customWidth="1"/>
    <col min="2" max="2" width="41.85546875" style="113" customWidth="1"/>
    <col min="3" max="3" width="10.140625" style="114" customWidth="1"/>
    <col min="4" max="4" width="11.140625" style="114" customWidth="1"/>
    <col min="5" max="10" width="11.28515625" style="114" customWidth="1"/>
    <col min="11" max="11" width="32.42578125" style="114" customWidth="1"/>
    <col min="12" max="12" width="11.5703125" style="114" customWidth="1"/>
    <col min="13" max="13" width="14.7109375" style="114" customWidth="1"/>
    <col min="14" max="14" width="14.5703125" style="114" customWidth="1"/>
    <col min="15" max="30" width="9.140625" style="113"/>
    <col min="31" max="16384" width="9.140625" style="9"/>
  </cols>
  <sheetData>
    <row r="1" spans="1:30" ht="12.75" customHeight="1" x14ac:dyDescent="0.2">
      <c r="B1" s="1409" t="s">
        <v>1327</v>
      </c>
      <c r="C1" s="1409"/>
      <c r="D1" s="1409"/>
      <c r="E1" s="1409"/>
      <c r="F1" s="1409"/>
      <c r="G1" s="1409"/>
      <c r="H1" s="1409"/>
      <c r="I1" s="1409"/>
      <c r="J1" s="1409"/>
      <c r="K1" s="1409"/>
      <c r="L1" s="1409"/>
      <c r="M1" s="1409"/>
      <c r="N1" s="1409"/>
      <c r="O1" s="521"/>
    </row>
    <row r="2" spans="1:30" x14ac:dyDescent="0.2">
      <c r="B2" s="399"/>
      <c r="N2" s="115"/>
    </row>
    <row r="3" spans="1:30" s="95" customFormat="1" x14ac:dyDescent="0.2">
      <c r="A3" s="116"/>
      <c r="B3" s="1414" t="s">
        <v>54</v>
      </c>
      <c r="C3" s="1414"/>
      <c r="D3" s="1414"/>
      <c r="E3" s="1414"/>
      <c r="F3" s="1414"/>
      <c r="G3" s="1414"/>
      <c r="H3" s="1414"/>
      <c r="I3" s="1414"/>
      <c r="J3" s="1414"/>
      <c r="K3" s="1414"/>
      <c r="L3" s="1414"/>
      <c r="M3" s="1414"/>
      <c r="N3" s="1414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</row>
    <row r="4" spans="1:30" s="95" customFormat="1" x14ac:dyDescent="0.2">
      <c r="A4" s="116"/>
      <c r="B4" s="1414" t="s">
        <v>1175</v>
      </c>
      <c r="C4" s="1414"/>
      <c r="D4" s="1414"/>
      <c r="E4" s="1414"/>
      <c r="F4" s="1414"/>
      <c r="G4" s="1414"/>
      <c r="H4" s="1414"/>
      <c r="I4" s="1414"/>
      <c r="J4" s="1414"/>
      <c r="K4" s="1414"/>
      <c r="L4" s="1414"/>
      <c r="M4" s="1414"/>
      <c r="N4" s="1414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</row>
    <row r="5" spans="1:30" s="95" customFormat="1" ht="12.75" customHeight="1" x14ac:dyDescent="0.2">
      <c r="A5" s="1425" t="s">
        <v>306</v>
      </c>
      <c r="B5" s="1425"/>
      <c r="C5" s="1425"/>
      <c r="D5" s="1425"/>
      <c r="E5" s="1425"/>
      <c r="F5" s="1425"/>
      <c r="G5" s="1425"/>
      <c r="H5" s="1425"/>
      <c r="I5" s="1425"/>
      <c r="J5" s="1425"/>
      <c r="K5" s="1425"/>
      <c r="L5" s="1425"/>
      <c r="M5" s="1425"/>
      <c r="N5" s="1425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</row>
    <row r="6" spans="1:30" s="95" customFormat="1" ht="12.75" customHeight="1" x14ac:dyDescent="0.2">
      <c r="A6" s="1426" t="s">
        <v>56</v>
      </c>
      <c r="B6" s="1428" t="s">
        <v>57</v>
      </c>
      <c r="C6" s="1420" t="s">
        <v>58</v>
      </c>
      <c r="D6" s="1421"/>
      <c r="E6" s="1421"/>
      <c r="F6" s="1421"/>
      <c r="G6" s="1421"/>
      <c r="H6" s="1421"/>
      <c r="I6" s="1421"/>
      <c r="J6" s="1422"/>
      <c r="K6" s="1429" t="s">
        <v>59</v>
      </c>
      <c r="L6" s="1418" t="s">
        <v>60</v>
      </c>
      <c r="M6" s="1419"/>
      <c r="N6" s="1419"/>
      <c r="O6" s="1419"/>
      <c r="P6" s="1419"/>
      <c r="Q6" s="1419"/>
      <c r="R6" s="1419"/>
      <c r="S6" s="1419"/>
      <c r="T6" s="116"/>
      <c r="U6" s="116"/>
      <c r="V6" s="116"/>
      <c r="W6" s="116"/>
      <c r="X6" s="116"/>
    </row>
    <row r="7" spans="1:30" s="95" customFormat="1" ht="12.75" customHeight="1" x14ac:dyDescent="0.2">
      <c r="A7" s="1426"/>
      <c r="B7" s="1428"/>
      <c r="C7" s="1423" t="s">
        <v>1162</v>
      </c>
      <c r="D7" s="1423"/>
      <c r="E7" s="1424"/>
      <c r="F7" s="1413" t="s">
        <v>1337</v>
      </c>
      <c r="G7" s="1413"/>
      <c r="H7" s="1413" t="s">
        <v>1338</v>
      </c>
      <c r="I7" s="1413"/>
      <c r="J7" s="1413"/>
      <c r="K7" s="1429"/>
      <c r="L7" s="1423" t="s">
        <v>1162</v>
      </c>
      <c r="M7" s="1423"/>
      <c r="N7" s="1424"/>
      <c r="O7" s="1413" t="s">
        <v>1337</v>
      </c>
      <c r="P7" s="1413"/>
      <c r="Q7" s="1413" t="s">
        <v>1338</v>
      </c>
      <c r="R7" s="1413"/>
      <c r="S7" s="1413"/>
      <c r="T7" s="116"/>
      <c r="U7" s="116"/>
      <c r="V7" s="116"/>
      <c r="W7" s="116"/>
      <c r="X7" s="116"/>
    </row>
    <row r="8" spans="1:30" s="96" customFormat="1" ht="36.6" customHeight="1" x14ac:dyDescent="0.2">
      <c r="A8" s="1427"/>
      <c r="B8" s="775" t="s">
        <v>61</v>
      </c>
      <c r="C8" s="776" t="s">
        <v>62</v>
      </c>
      <c r="D8" s="776" t="s">
        <v>63</v>
      </c>
      <c r="E8" s="777" t="s">
        <v>64</v>
      </c>
      <c r="F8" s="737" t="s">
        <v>62</v>
      </c>
      <c r="G8" s="737" t="s">
        <v>63</v>
      </c>
      <c r="H8" s="737" t="s">
        <v>62</v>
      </c>
      <c r="I8" s="737" t="s">
        <v>63</v>
      </c>
      <c r="J8" s="738" t="s">
        <v>64</v>
      </c>
      <c r="K8" s="778" t="s">
        <v>65</v>
      </c>
      <c r="L8" s="776" t="s">
        <v>62</v>
      </c>
      <c r="M8" s="776" t="s">
        <v>63</v>
      </c>
      <c r="N8" s="776" t="s">
        <v>64</v>
      </c>
      <c r="O8" s="737" t="s">
        <v>62</v>
      </c>
      <c r="P8" s="737" t="s">
        <v>63</v>
      </c>
      <c r="Q8" s="737" t="s">
        <v>62</v>
      </c>
      <c r="R8" s="737" t="s">
        <v>63</v>
      </c>
      <c r="S8" s="738" t="s">
        <v>64</v>
      </c>
      <c r="T8" s="126"/>
      <c r="U8" s="126"/>
      <c r="V8" s="126"/>
      <c r="W8" s="126"/>
      <c r="X8" s="126"/>
    </row>
    <row r="9" spans="1:30" ht="11.45" customHeight="1" x14ac:dyDescent="0.2">
      <c r="A9" s="779">
        <v>1</v>
      </c>
      <c r="B9" s="780" t="s">
        <v>24</v>
      </c>
      <c r="C9" s="758"/>
      <c r="D9" s="758"/>
      <c r="E9" s="758"/>
      <c r="F9" s="758"/>
      <c r="G9" s="758"/>
      <c r="H9" s="758"/>
      <c r="I9" s="758"/>
      <c r="J9" s="758"/>
      <c r="K9" s="757" t="s">
        <v>25</v>
      </c>
      <c r="L9" s="758"/>
      <c r="M9" s="758"/>
      <c r="N9" s="751"/>
      <c r="O9" s="745"/>
      <c r="P9" s="745"/>
      <c r="Q9" s="745"/>
      <c r="R9" s="745"/>
      <c r="S9" s="745"/>
      <c r="Y9" s="9"/>
      <c r="Z9" s="9"/>
      <c r="AA9" s="9"/>
      <c r="AB9" s="9"/>
      <c r="AC9" s="9"/>
      <c r="AD9" s="9"/>
    </row>
    <row r="10" spans="1:30" x14ac:dyDescent="0.2">
      <c r="A10" s="779">
        <f>A9+1</f>
        <v>2</v>
      </c>
      <c r="B10" s="781" t="s">
        <v>35</v>
      </c>
      <c r="C10" s="748"/>
      <c r="D10" s="748"/>
      <c r="E10" s="748">
        <f>SUM(C10:D10)</f>
        <v>0</v>
      </c>
      <c r="F10" s="748"/>
      <c r="G10" s="748"/>
      <c r="H10" s="748"/>
      <c r="I10" s="748"/>
      <c r="J10" s="748"/>
      <c r="K10" s="748" t="s">
        <v>26</v>
      </c>
      <c r="L10" s="748">
        <f>Össz.önkor.mérleg.!L10</f>
        <v>574775</v>
      </c>
      <c r="M10" s="748">
        <f>Össz.önkor.mérleg.!M10</f>
        <v>390962</v>
      </c>
      <c r="N10" s="748">
        <f>Össz.önkor.mérleg.!N10</f>
        <v>965737</v>
      </c>
      <c r="O10" s="745"/>
      <c r="P10" s="745"/>
      <c r="Q10" s="745"/>
      <c r="R10" s="745"/>
      <c r="S10" s="745"/>
      <c r="Y10" s="9"/>
      <c r="Z10" s="9"/>
      <c r="AA10" s="9"/>
      <c r="AB10" s="9"/>
      <c r="AC10" s="9"/>
      <c r="AD10" s="9"/>
    </row>
    <row r="11" spans="1:30" x14ac:dyDescent="0.2">
      <c r="A11" s="779">
        <f t="shared" ref="A11:A45" si="0">A10+1</f>
        <v>3</v>
      </c>
      <c r="B11" s="781" t="s">
        <v>36</v>
      </c>
      <c r="C11" s="748">
        <f>Össz.önkor.mérleg.!C11</f>
        <v>782216</v>
      </c>
      <c r="D11" s="748">
        <f>Össz.önkor.mérleg.!D11</f>
        <v>106500</v>
      </c>
      <c r="E11" s="748">
        <f>Össz.önkor.mérleg.!E11</f>
        <v>888716</v>
      </c>
      <c r="F11" s="748"/>
      <c r="G11" s="748"/>
      <c r="H11" s="748"/>
      <c r="I11" s="748"/>
      <c r="J11" s="748"/>
      <c r="K11" s="748" t="s">
        <v>27</v>
      </c>
      <c r="L11" s="748">
        <f>Össz.önkor.mérleg.!L11</f>
        <v>117689</v>
      </c>
      <c r="M11" s="748">
        <f>Össz.önkor.mérleg.!M11</f>
        <v>87160</v>
      </c>
      <c r="N11" s="748">
        <f>Össz.önkor.mérleg.!N11</f>
        <v>204849</v>
      </c>
      <c r="O11" s="745"/>
      <c r="P11" s="745"/>
      <c r="Q11" s="745"/>
      <c r="R11" s="745"/>
      <c r="S11" s="745"/>
      <c r="Y11" s="9"/>
      <c r="Z11" s="9"/>
      <c r="AA11" s="9"/>
      <c r="AB11" s="9"/>
      <c r="AC11" s="9"/>
      <c r="AD11" s="9"/>
    </row>
    <row r="12" spans="1:30" x14ac:dyDescent="0.2">
      <c r="A12" s="779">
        <f t="shared" si="0"/>
        <v>4</v>
      </c>
      <c r="B12" s="781" t="s">
        <v>934</v>
      </c>
      <c r="C12" s="748">
        <f>Össz.önkor.mérleg.!C12</f>
        <v>0</v>
      </c>
      <c r="D12" s="748">
        <f>Össz.önkor.mérleg.!D12</f>
        <v>0</v>
      </c>
      <c r="E12" s="748">
        <f>Össz.önkor.mérleg.!E12</f>
        <v>0</v>
      </c>
      <c r="F12" s="748"/>
      <c r="G12" s="748"/>
      <c r="H12" s="748"/>
      <c r="I12" s="748"/>
      <c r="J12" s="748"/>
      <c r="K12" s="748" t="s">
        <v>29</v>
      </c>
      <c r="L12" s="748">
        <f>Össz.önkor.mérleg.!L12</f>
        <v>569138</v>
      </c>
      <c r="M12" s="748">
        <f>Össz.önkor.mérleg.!M12</f>
        <v>519434</v>
      </c>
      <c r="N12" s="748">
        <f>Össz.önkor.mérleg.!N12</f>
        <v>1088572</v>
      </c>
      <c r="O12" s="745"/>
      <c r="P12" s="745"/>
      <c r="Q12" s="745"/>
      <c r="R12" s="745"/>
      <c r="S12" s="745"/>
      <c r="Y12" s="9"/>
      <c r="Z12" s="9"/>
      <c r="AA12" s="9"/>
      <c r="AB12" s="9"/>
      <c r="AC12" s="9"/>
      <c r="AD12" s="9"/>
    </row>
    <row r="13" spans="1:30" ht="12" customHeight="1" x14ac:dyDescent="0.2">
      <c r="A13" s="779">
        <f t="shared" si="0"/>
        <v>5</v>
      </c>
      <c r="B13" s="781" t="s">
        <v>37</v>
      </c>
      <c r="C13" s="748">
        <f>Össz.önkor.mérleg.!C13</f>
        <v>30732</v>
      </c>
      <c r="D13" s="748">
        <f>Össz.önkor.mérleg.!D13</f>
        <v>26537</v>
      </c>
      <c r="E13" s="748">
        <f>Össz.önkor.mérleg.!E13</f>
        <v>57269</v>
      </c>
      <c r="F13" s="748"/>
      <c r="G13" s="748"/>
      <c r="H13" s="748"/>
      <c r="I13" s="748"/>
      <c r="J13" s="748"/>
      <c r="K13" s="748"/>
      <c r="L13" s="748"/>
      <c r="M13" s="748"/>
      <c r="N13" s="749"/>
      <c r="O13" s="745"/>
      <c r="P13" s="745"/>
      <c r="Q13" s="745"/>
      <c r="R13" s="745"/>
      <c r="S13" s="745"/>
      <c r="Y13" s="9"/>
      <c r="Z13" s="9"/>
      <c r="AA13" s="9"/>
      <c r="AB13" s="9"/>
      <c r="AC13" s="9"/>
      <c r="AD13" s="9"/>
    </row>
    <row r="14" spans="1:30" x14ac:dyDescent="0.2">
      <c r="A14" s="779">
        <f t="shared" si="0"/>
        <v>6</v>
      </c>
      <c r="B14" s="781" t="s">
        <v>39</v>
      </c>
      <c r="C14" s="748">
        <f>Össz.önkor.mérleg.!C17</f>
        <v>376462</v>
      </c>
      <c r="D14" s="748">
        <f>Össz.önkor.mérleg.!D17</f>
        <v>863942</v>
      </c>
      <c r="E14" s="748">
        <f>Össz.önkor.mérleg.!E17</f>
        <v>1240404</v>
      </c>
      <c r="F14" s="748"/>
      <c r="G14" s="748"/>
      <c r="H14" s="748"/>
      <c r="I14" s="748"/>
      <c r="J14" s="748"/>
      <c r="K14" s="748" t="s">
        <v>28</v>
      </c>
      <c r="L14" s="748">
        <f>Össz.önkor.mérleg.!L14</f>
        <v>3039</v>
      </c>
      <c r="M14" s="748">
        <f>Össz.önkor.mérleg.!M14</f>
        <v>10950</v>
      </c>
      <c r="N14" s="748">
        <f>Össz.önkor.mérleg.!N14</f>
        <v>13989</v>
      </c>
      <c r="O14" s="745"/>
      <c r="P14" s="745"/>
      <c r="Q14" s="745"/>
      <c r="R14" s="745"/>
      <c r="S14" s="745"/>
      <c r="Y14" s="9"/>
      <c r="Z14" s="9"/>
      <c r="AA14" s="9"/>
      <c r="AB14" s="9"/>
      <c r="AC14" s="9"/>
      <c r="AD14" s="9"/>
    </row>
    <row r="15" spans="1:30" x14ac:dyDescent="0.2">
      <c r="A15" s="779">
        <f t="shared" si="0"/>
        <v>7</v>
      </c>
      <c r="B15" s="781"/>
      <c r="C15" s="748"/>
      <c r="D15" s="748"/>
      <c r="E15" s="748"/>
      <c r="F15" s="748"/>
      <c r="G15" s="748"/>
      <c r="H15" s="748"/>
      <c r="I15" s="748"/>
      <c r="J15" s="748"/>
      <c r="K15" s="748" t="s">
        <v>30</v>
      </c>
      <c r="L15" s="748"/>
      <c r="M15" s="751"/>
      <c r="N15" s="749"/>
      <c r="O15" s="745"/>
      <c r="P15" s="745"/>
      <c r="Q15" s="745"/>
      <c r="R15" s="745"/>
      <c r="S15" s="745"/>
      <c r="Y15" s="9"/>
      <c r="Z15" s="9"/>
      <c r="AA15" s="9"/>
      <c r="AB15" s="9"/>
      <c r="AC15" s="9"/>
      <c r="AD15" s="9"/>
    </row>
    <row r="16" spans="1:30" x14ac:dyDescent="0.2">
      <c r="A16" s="779">
        <f t="shared" si="0"/>
        <v>8</v>
      </c>
      <c r="B16" s="781" t="s">
        <v>41</v>
      </c>
      <c r="C16" s="749">
        <f>Össz.önkor.mérleg.!C20</f>
        <v>320112</v>
      </c>
      <c r="D16" s="749">
        <f>Össz.önkor.mérleg.!D20</f>
        <v>283155</v>
      </c>
      <c r="E16" s="749">
        <f>Össz.önkor.mérleg.!E20</f>
        <v>603267</v>
      </c>
      <c r="F16" s="749"/>
      <c r="G16" s="749"/>
      <c r="H16" s="749"/>
      <c r="I16" s="749"/>
      <c r="J16" s="749"/>
      <c r="K16" s="748" t="s">
        <v>447</v>
      </c>
      <c r="L16" s="748">
        <f>Össz.önkor.mérleg.!L17</f>
        <v>5850</v>
      </c>
      <c r="M16" s="748">
        <f>Össz.önkor.mérleg.!M17</f>
        <v>53735</v>
      </c>
      <c r="N16" s="748">
        <f>Össz.önkor.mérleg.!N17</f>
        <v>59585</v>
      </c>
      <c r="O16" s="745"/>
      <c r="P16" s="745"/>
      <c r="Q16" s="745"/>
      <c r="R16" s="745"/>
      <c r="S16" s="745"/>
      <c r="Y16" s="9"/>
      <c r="Z16" s="9"/>
      <c r="AA16" s="9"/>
      <c r="AB16" s="9"/>
      <c r="AC16" s="9"/>
      <c r="AD16" s="9"/>
    </row>
    <row r="17" spans="1:30" x14ac:dyDescent="0.2">
      <c r="A17" s="779">
        <f t="shared" si="0"/>
        <v>9</v>
      </c>
      <c r="B17" s="782" t="s">
        <v>40</v>
      </c>
      <c r="C17" s="749"/>
      <c r="D17" s="749"/>
      <c r="E17" s="749"/>
      <c r="F17" s="749"/>
      <c r="G17" s="749"/>
      <c r="H17" s="749"/>
      <c r="I17" s="749"/>
      <c r="J17" s="749"/>
      <c r="K17" s="748" t="s">
        <v>446</v>
      </c>
      <c r="L17" s="748">
        <f>Össz.önkor.mérleg.!L18</f>
        <v>116758</v>
      </c>
      <c r="M17" s="748">
        <f>Össz.önkor.mérleg.!M18</f>
        <v>175656</v>
      </c>
      <c r="N17" s="748">
        <f>Össz.önkor.mérleg.!N18</f>
        <v>292414</v>
      </c>
      <c r="O17" s="745"/>
      <c r="P17" s="745"/>
      <c r="Q17" s="745"/>
      <c r="R17" s="745"/>
      <c r="S17" s="745"/>
      <c r="Y17" s="9"/>
      <c r="Z17" s="9"/>
      <c r="AA17" s="9"/>
      <c r="AB17" s="9"/>
      <c r="AC17" s="9"/>
      <c r="AD17" s="9"/>
    </row>
    <row r="18" spans="1:30" x14ac:dyDescent="0.2">
      <c r="A18" s="779">
        <f t="shared" si="0"/>
        <v>10</v>
      </c>
      <c r="B18" s="782"/>
      <c r="C18" s="749"/>
      <c r="D18" s="749"/>
      <c r="E18" s="749"/>
      <c r="F18" s="749"/>
      <c r="G18" s="749"/>
      <c r="H18" s="749"/>
      <c r="I18" s="749"/>
      <c r="J18" s="749"/>
      <c r="K18" s="748" t="s">
        <v>191</v>
      </c>
      <c r="L18" s="748">
        <f>Össz.önkor.mérleg.!L19</f>
        <v>0</v>
      </c>
      <c r="M18" s="748">
        <f>Össz.önkor.mérleg.!M19</f>
        <v>0</v>
      </c>
      <c r="N18" s="748">
        <f>Össz.önkor.mérleg.!N19</f>
        <v>0</v>
      </c>
      <c r="O18" s="745"/>
      <c r="P18" s="745"/>
      <c r="Q18" s="745"/>
      <c r="R18" s="745"/>
      <c r="S18" s="745"/>
      <c r="Y18" s="9"/>
      <c r="Z18" s="9"/>
      <c r="AA18" s="9"/>
      <c r="AB18" s="9"/>
      <c r="AC18" s="9"/>
      <c r="AD18" s="9"/>
    </row>
    <row r="19" spans="1:30" x14ac:dyDescent="0.2">
      <c r="A19" s="779">
        <f t="shared" si="0"/>
        <v>11</v>
      </c>
      <c r="B19" s="781" t="s">
        <v>1142</v>
      </c>
      <c r="C19" s="748">
        <f>Össz.önkor.mérleg.!C29</f>
        <v>0</v>
      </c>
      <c r="D19" s="748">
        <f>Össz.önkor.mérleg.!D29</f>
        <v>0</v>
      </c>
      <c r="E19" s="748">
        <f>Össz.önkor.mérleg.!E29</f>
        <v>0</v>
      </c>
      <c r="F19" s="748"/>
      <c r="G19" s="748"/>
      <c r="H19" s="748"/>
      <c r="I19" s="748"/>
      <c r="J19" s="748"/>
      <c r="K19" s="748" t="s">
        <v>439</v>
      </c>
      <c r="L19" s="748">
        <f>Össz.önkor.mérleg.!L20</f>
        <v>0</v>
      </c>
      <c r="M19" s="748">
        <f>Össz.önkor.mérleg.!M20</f>
        <v>35000</v>
      </c>
      <c r="N19" s="748">
        <f>Össz.önkor.mérleg.!N20</f>
        <v>35000</v>
      </c>
      <c r="O19" s="745"/>
      <c r="P19" s="745"/>
      <c r="Q19" s="745"/>
      <c r="R19" s="745"/>
      <c r="S19" s="745"/>
      <c r="Y19" s="9"/>
      <c r="Z19" s="9"/>
      <c r="AA19" s="9"/>
      <c r="AB19" s="9"/>
      <c r="AC19" s="9"/>
      <c r="AD19" s="9"/>
    </row>
    <row r="20" spans="1:30" x14ac:dyDescent="0.2">
      <c r="A20" s="779">
        <f t="shared" si="0"/>
        <v>12</v>
      </c>
      <c r="B20" s="746"/>
      <c r="C20" s="749"/>
      <c r="D20" s="749"/>
      <c r="E20" s="749"/>
      <c r="F20" s="749"/>
      <c r="G20" s="749"/>
      <c r="H20" s="749"/>
      <c r="I20" s="749"/>
      <c r="J20" s="749"/>
      <c r="K20" s="748" t="s">
        <v>440</v>
      </c>
      <c r="L20" s="748">
        <f>Össz.önkor.mérleg.!L21</f>
        <v>63771</v>
      </c>
      <c r="M20" s="748">
        <f>Össz.önkor.mérleg.!M21</f>
        <v>11007</v>
      </c>
      <c r="N20" s="748">
        <f>Össz.önkor.mérleg.!N21</f>
        <v>74778</v>
      </c>
      <c r="O20" s="745"/>
      <c r="P20" s="745"/>
      <c r="Q20" s="745"/>
      <c r="R20" s="745"/>
      <c r="S20" s="745"/>
      <c r="Y20" s="9"/>
      <c r="Z20" s="9"/>
      <c r="AA20" s="9"/>
      <c r="AB20" s="9"/>
      <c r="AC20" s="9"/>
      <c r="AD20" s="9"/>
    </row>
    <row r="21" spans="1:30" x14ac:dyDescent="0.2">
      <c r="A21" s="779">
        <f t="shared" si="0"/>
        <v>13</v>
      </c>
      <c r="B21" s="746"/>
      <c r="C21" s="749"/>
      <c r="D21" s="749"/>
      <c r="E21" s="749"/>
      <c r="F21" s="749"/>
      <c r="G21" s="749"/>
      <c r="H21" s="749"/>
      <c r="I21" s="749"/>
      <c r="J21" s="749"/>
      <c r="K21" s="748"/>
      <c r="L21" s="748"/>
      <c r="M21" s="751"/>
      <c r="N21" s="749"/>
      <c r="O21" s="745"/>
      <c r="P21" s="745"/>
      <c r="Q21" s="745"/>
      <c r="R21" s="745"/>
      <c r="S21" s="745"/>
      <c r="Y21" s="9"/>
      <c r="Z21" s="9"/>
      <c r="AA21" s="9"/>
      <c r="AB21" s="9"/>
      <c r="AC21" s="9"/>
      <c r="AD21" s="9"/>
    </row>
    <row r="22" spans="1:30" s="97" customFormat="1" x14ac:dyDescent="0.2">
      <c r="A22" s="779">
        <f t="shared" si="0"/>
        <v>14</v>
      </c>
      <c r="B22" s="783" t="s">
        <v>52</v>
      </c>
      <c r="C22" s="784">
        <f>SUM(C11:C20)</f>
        <v>1509522</v>
      </c>
      <c r="D22" s="784">
        <f>SUM(D11:D20)</f>
        <v>1280134</v>
      </c>
      <c r="E22" s="784">
        <f>SUM(E11:E20)</f>
        <v>2789656</v>
      </c>
      <c r="F22" s="784"/>
      <c r="G22" s="784"/>
      <c r="H22" s="784"/>
      <c r="I22" s="784"/>
      <c r="J22" s="784"/>
      <c r="K22" s="756" t="s">
        <v>66</v>
      </c>
      <c r="L22" s="756">
        <f>SUM(L10:L21)</f>
        <v>1451020</v>
      </c>
      <c r="M22" s="756">
        <f>SUM(M10:M21)</f>
        <v>1283904</v>
      </c>
      <c r="N22" s="756">
        <f>SUM(N10:N21)</f>
        <v>2734924</v>
      </c>
      <c r="O22" s="753"/>
      <c r="P22" s="753"/>
      <c r="Q22" s="753"/>
      <c r="R22" s="753"/>
      <c r="S22" s="753"/>
      <c r="T22" s="127"/>
      <c r="U22" s="127"/>
      <c r="V22" s="127"/>
      <c r="W22" s="127"/>
      <c r="X22" s="127"/>
    </row>
    <row r="23" spans="1:30" s="97" customFormat="1" x14ac:dyDescent="0.2">
      <c r="A23" s="779">
        <f t="shared" si="0"/>
        <v>15</v>
      </c>
      <c r="B23" s="746"/>
      <c r="C23" s="749"/>
      <c r="D23" s="749"/>
      <c r="E23" s="749"/>
      <c r="F23" s="749"/>
      <c r="G23" s="749"/>
      <c r="H23" s="749"/>
      <c r="I23" s="749"/>
      <c r="J23" s="749"/>
      <c r="K23" s="751"/>
      <c r="L23" s="751"/>
      <c r="M23" s="751"/>
      <c r="N23" s="751"/>
      <c r="O23" s="753"/>
      <c r="P23" s="753"/>
      <c r="Q23" s="753"/>
      <c r="R23" s="753"/>
      <c r="S23" s="753"/>
      <c r="T23" s="127"/>
      <c r="U23" s="127"/>
      <c r="V23" s="127"/>
      <c r="W23" s="127"/>
      <c r="X23" s="127"/>
    </row>
    <row r="24" spans="1:30" x14ac:dyDescent="0.2">
      <c r="A24" s="779">
        <f t="shared" si="0"/>
        <v>16</v>
      </c>
      <c r="B24" s="761" t="s">
        <v>51</v>
      </c>
      <c r="C24" s="755">
        <f>SUM(C22:C23)</f>
        <v>1509522</v>
      </c>
      <c r="D24" s="755">
        <f>SUM(D22:D23)</f>
        <v>1280134</v>
      </c>
      <c r="E24" s="755">
        <f>SUM(E22:E23)</f>
        <v>2789656</v>
      </c>
      <c r="F24" s="755"/>
      <c r="G24" s="755"/>
      <c r="H24" s="755"/>
      <c r="I24" s="755"/>
      <c r="J24" s="755"/>
      <c r="K24" s="758" t="s">
        <v>69</v>
      </c>
      <c r="L24" s="758">
        <f>SUM(L22:L23)</f>
        <v>1451020</v>
      </c>
      <c r="M24" s="758">
        <f>SUM(M22:M23)</f>
        <v>1283904</v>
      </c>
      <c r="N24" s="758">
        <f>SUM(N22:N23)</f>
        <v>2734924</v>
      </c>
      <c r="O24" s="745"/>
      <c r="P24" s="745"/>
      <c r="Q24" s="745"/>
      <c r="R24" s="745"/>
      <c r="S24" s="745"/>
      <c r="Y24" s="9"/>
      <c r="Z24" s="9"/>
      <c r="AA24" s="9"/>
      <c r="AB24" s="9"/>
      <c r="AC24" s="9"/>
      <c r="AD24" s="9"/>
    </row>
    <row r="25" spans="1:30" x14ac:dyDescent="0.2">
      <c r="A25" s="785">
        <f t="shared" si="0"/>
        <v>17</v>
      </c>
      <c r="B25" s="786"/>
      <c r="C25" s="787"/>
      <c r="D25" s="787"/>
      <c r="E25" s="787"/>
      <c r="F25" s="787"/>
      <c r="G25" s="787"/>
      <c r="H25" s="787"/>
      <c r="I25" s="787"/>
      <c r="J25" s="787"/>
      <c r="K25" s="751"/>
      <c r="L25" s="751"/>
      <c r="M25" s="751"/>
      <c r="N25" s="751"/>
      <c r="O25" s="745"/>
      <c r="P25" s="745"/>
      <c r="Q25" s="745"/>
      <c r="R25" s="745"/>
      <c r="S25" s="745"/>
      <c r="Y25" s="9"/>
      <c r="Z25" s="9"/>
      <c r="AA25" s="9"/>
      <c r="AB25" s="9"/>
      <c r="AC25" s="9"/>
      <c r="AD25" s="9"/>
    </row>
    <row r="26" spans="1:30" x14ac:dyDescent="0.2">
      <c r="A26" s="785">
        <f t="shared" si="0"/>
        <v>18</v>
      </c>
      <c r="B26" s="788" t="s">
        <v>632</v>
      </c>
      <c r="C26" s="757">
        <f>C24-L24</f>
        <v>58502</v>
      </c>
      <c r="D26" s="757">
        <f>D24-M24</f>
        <v>-3770</v>
      </c>
      <c r="E26" s="757">
        <f>E24-N24</f>
        <v>54732</v>
      </c>
      <c r="F26" s="757"/>
      <c r="G26" s="757"/>
      <c r="H26" s="757"/>
      <c r="I26" s="757"/>
      <c r="J26" s="757"/>
      <c r="K26" s="757"/>
      <c r="L26" s="758"/>
      <c r="M26" s="758"/>
      <c r="N26" s="751"/>
      <c r="O26" s="745"/>
      <c r="P26" s="745"/>
      <c r="Q26" s="745"/>
      <c r="R26" s="745"/>
      <c r="S26" s="745"/>
      <c r="Y26" s="9"/>
      <c r="Z26" s="9"/>
      <c r="AA26" s="9"/>
      <c r="AB26" s="9"/>
      <c r="AC26" s="9"/>
      <c r="AD26" s="9"/>
    </row>
    <row r="27" spans="1:30" x14ac:dyDescent="0.2">
      <c r="A27" s="785">
        <f t="shared" si="0"/>
        <v>19</v>
      </c>
      <c r="B27" s="789" t="s">
        <v>1231</v>
      </c>
      <c r="C27" s="748">
        <f>-(C26+C37-L44)</f>
        <v>-28632</v>
      </c>
      <c r="D27" s="748"/>
      <c r="E27" s="757">
        <f>C27+D27</f>
        <v>-28632</v>
      </c>
      <c r="F27" s="757"/>
      <c r="G27" s="757"/>
      <c r="H27" s="757"/>
      <c r="I27" s="757"/>
      <c r="J27" s="757"/>
      <c r="K27" s="748"/>
      <c r="L27" s="751"/>
      <c r="M27" s="751"/>
      <c r="N27" s="751"/>
      <c r="O27" s="745"/>
      <c r="P27" s="745"/>
      <c r="Q27" s="745"/>
      <c r="R27" s="745"/>
      <c r="S27" s="745"/>
      <c r="Y27" s="9"/>
      <c r="Z27" s="9"/>
      <c r="AA27" s="9"/>
      <c r="AB27" s="9"/>
      <c r="AC27" s="9"/>
      <c r="AD27" s="9"/>
    </row>
    <row r="28" spans="1:30" x14ac:dyDescent="0.2">
      <c r="A28" s="785">
        <f t="shared" si="0"/>
        <v>20</v>
      </c>
      <c r="B28" s="757" t="s">
        <v>53</v>
      </c>
      <c r="C28" s="757"/>
      <c r="D28" s="757"/>
      <c r="E28" s="757"/>
      <c r="F28" s="757"/>
      <c r="G28" s="757"/>
      <c r="H28" s="757"/>
      <c r="I28" s="757"/>
      <c r="J28" s="757"/>
      <c r="K28" s="757" t="s">
        <v>33</v>
      </c>
      <c r="L28" s="751"/>
      <c r="M28" s="751"/>
      <c r="N28" s="751"/>
      <c r="O28" s="745"/>
      <c r="P28" s="745"/>
      <c r="Q28" s="745"/>
      <c r="R28" s="745"/>
      <c r="S28" s="745"/>
      <c r="Y28" s="9"/>
      <c r="Z28" s="9"/>
      <c r="AA28" s="9"/>
      <c r="AB28" s="9"/>
      <c r="AC28" s="9"/>
      <c r="AD28" s="9"/>
    </row>
    <row r="29" spans="1:30" s="97" customFormat="1" x14ac:dyDescent="0.2">
      <c r="A29" s="785">
        <f t="shared" si="0"/>
        <v>21</v>
      </c>
      <c r="B29" s="764" t="s">
        <v>685</v>
      </c>
      <c r="C29" s="757"/>
      <c r="D29" s="757"/>
      <c r="E29" s="757"/>
      <c r="F29" s="757"/>
      <c r="G29" s="757"/>
      <c r="H29" s="757"/>
      <c r="I29" s="757"/>
      <c r="J29" s="757"/>
      <c r="K29" s="764" t="s">
        <v>4</v>
      </c>
      <c r="L29" s="751"/>
      <c r="M29" s="751"/>
      <c r="N29" s="751"/>
      <c r="O29" s="753"/>
      <c r="P29" s="753"/>
      <c r="Q29" s="753"/>
      <c r="R29" s="753"/>
      <c r="S29" s="753"/>
      <c r="T29" s="127"/>
      <c r="U29" s="127"/>
      <c r="V29" s="127"/>
      <c r="W29" s="127"/>
      <c r="X29" s="127"/>
    </row>
    <row r="30" spans="1:30" ht="21.75" x14ac:dyDescent="0.2">
      <c r="A30" s="785">
        <f t="shared" si="0"/>
        <v>22</v>
      </c>
      <c r="B30" s="790" t="s">
        <v>1015</v>
      </c>
      <c r="C30" s="791">
        <f>Össz.önkor.mérleg.!C41</f>
        <v>634227</v>
      </c>
      <c r="D30" s="791">
        <f>Össz.önkor.mérleg.!D41</f>
        <v>0</v>
      </c>
      <c r="E30" s="791">
        <f>Össz.önkor.mérleg.!E41</f>
        <v>634227</v>
      </c>
      <c r="F30" s="791"/>
      <c r="G30" s="791"/>
      <c r="H30" s="791"/>
      <c r="I30" s="791"/>
      <c r="J30" s="791"/>
      <c r="K30" s="746" t="s">
        <v>3</v>
      </c>
      <c r="L30" s="751"/>
      <c r="M30" s="751"/>
      <c r="N30" s="751"/>
      <c r="O30" s="745"/>
      <c r="P30" s="745"/>
      <c r="Q30" s="745"/>
      <c r="R30" s="745"/>
      <c r="S30" s="745"/>
      <c r="Y30" s="9"/>
      <c r="Z30" s="9"/>
      <c r="AA30" s="9"/>
      <c r="AB30" s="9"/>
      <c r="AC30" s="9"/>
      <c r="AD30" s="9"/>
    </row>
    <row r="31" spans="1:30" x14ac:dyDescent="0.2">
      <c r="A31" s="785">
        <f t="shared" si="0"/>
        <v>23</v>
      </c>
      <c r="B31" s="746" t="s">
        <v>1014</v>
      </c>
      <c r="C31" s="792">
        <f>-'felhalm. mérleg'!C33</f>
        <v>-634227</v>
      </c>
      <c r="D31" s="792">
        <v>0</v>
      </c>
      <c r="E31" s="791">
        <f>C31+D31</f>
        <v>-634227</v>
      </c>
      <c r="F31" s="791"/>
      <c r="G31" s="791"/>
      <c r="H31" s="791"/>
      <c r="I31" s="791"/>
      <c r="J31" s="791"/>
      <c r="K31" s="746"/>
      <c r="L31" s="751"/>
      <c r="M31" s="751"/>
      <c r="N31" s="751"/>
      <c r="O31" s="745"/>
      <c r="P31" s="745"/>
      <c r="Q31" s="745"/>
      <c r="R31" s="745"/>
      <c r="S31" s="745"/>
      <c r="Y31" s="9"/>
      <c r="Z31" s="9"/>
      <c r="AA31" s="9"/>
      <c r="AB31" s="9"/>
      <c r="AC31" s="9"/>
      <c r="AD31" s="9"/>
    </row>
    <row r="32" spans="1:30" s="10" customFormat="1" x14ac:dyDescent="0.2">
      <c r="A32" s="785">
        <f t="shared" si="0"/>
        <v>24</v>
      </c>
      <c r="B32" s="748" t="s">
        <v>639</v>
      </c>
      <c r="C32" s="766"/>
      <c r="D32" s="764"/>
      <c r="E32" s="764">
        <f>SUM(C32:D32)</f>
        <v>0</v>
      </c>
      <c r="F32" s="764"/>
      <c r="G32" s="764"/>
      <c r="H32" s="764"/>
      <c r="I32" s="764"/>
      <c r="J32" s="764"/>
      <c r="K32" s="748" t="s">
        <v>5</v>
      </c>
      <c r="L32" s="751"/>
      <c r="M32" s="751"/>
      <c r="N32" s="751"/>
      <c r="O32" s="760"/>
      <c r="P32" s="760"/>
      <c r="Q32" s="760"/>
      <c r="R32" s="760"/>
      <c r="S32" s="760"/>
      <c r="T32" s="125"/>
      <c r="U32" s="125"/>
      <c r="V32" s="125"/>
      <c r="W32" s="125"/>
      <c r="X32" s="125"/>
    </row>
    <row r="33" spans="1:30" x14ac:dyDescent="0.2">
      <c r="A33" s="785">
        <f t="shared" si="0"/>
        <v>25</v>
      </c>
      <c r="B33" s="748" t="s">
        <v>686</v>
      </c>
      <c r="C33" s="748"/>
      <c r="D33" s="748"/>
      <c r="E33" s="748"/>
      <c r="F33" s="748"/>
      <c r="G33" s="748"/>
      <c r="H33" s="748"/>
      <c r="I33" s="748"/>
      <c r="J33" s="748"/>
      <c r="K33" s="748" t="s">
        <v>6</v>
      </c>
      <c r="L33" s="793"/>
      <c r="M33" s="793"/>
      <c r="N33" s="793"/>
      <c r="O33" s="745"/>
      <c r="P33" s="745"/>
      <c r="Q33" s="745"/>
      <c r="R33" s="745"/>
      <c r="S33" s="745"/>
      <c r="Y33" s="9"/>
      <c r="Z33" s="9"/>
      <c r="AA33" s="9"/>
      <c r="AB33" s="9"/>
      <c r="AC33" s="9"/>
      <c r="AD33" s="9"/>
    </row>
    <row r="34" spans="1:30" x14ac:dyDescent="0.2">
      <c r="A34" s="785">
        <f t="shared" si="0"/>
        <v>26</v>
      </c>
      <c r="B34" s="748" t="s">
        <v>641</v>
      </c>
      <c r="C34" s="748">
        <f>Össz.önkor.mérleg.!C44</f>
        <v>336807</v>
      </c>
      <c r="D34" s="748">
        <f>Össz.önkor.mérleg.!D44</f>
        <v>295138</v>
      </c>
      <c r="E34" s="748">
        <f>SUM(C34:D34)</f>
        <v>631945</v>
      </c>
      <c r="F34" s="748"/>
      <c r="G34" s="748"/>
      <c r="H34" s="748"/>
      <c r="I34" s="748"/>
      <c r="J34" s="748"/>
      <c r="K34" s="748" t="s">
        <v>7</v>
      </c>
      <c r="L34" s="758"/>
      <c r="M34" s="758"/>
      <c r="N34" s="758"/>
      <c r="O34" s="745"/>
      <c r="P34" s="745"/>
      <c r="Q34" s="745"/>
      <c r="R34" s="745"/>
      <c r="S34" s="745"/>
      <c r="Y34" s="9"/>
      <c r="Z34" s="9"/>
      <c r="AA34" s="9"/>
      <c r="AB34" s="9"/>
      <c r="AC34" s="9"/>
      <c r="AD34" s="9"/>
    </row>
    <row r="35" spans="1:30" x14ac:dyDescent="0.2">
      <c r="A35" s="785">
        <f t="shared" si="0"/>
        <v>27</v>
      </c>
      <c r="B35" s="748" t="s">
        <v>961</v>
      </c>
      <c r="C35" s="748">
        <f>Össz.önkor.mérleg.!C45</f>
        <v>0</v>
      </c>
      <c r="D35" s="748">
        <f>Össz.önkor.mérleg.!D45</f>
        <v>0</v>
      </c>
      <c r="E35" s="748">
        <f>Össz.önkor.mérleg.!E45</f>
        <v>0</v>
      </c>
      <c r="F35" s="748"/>
      <c r="G35" s="748"/>
      <c r="H35" s="748"/>
      <c r="I35" s="748"/>
      <c r="J35" s="748"/>
      <c r="K35" s="748"/>
      <c r="L35" s="758"/>
      <c r="M35" s="758"/>
      <c r="N35" s="758"/>
      <c r="O35" s="745"/>
      <c r="P35" s="745"/>
      <c r="Q35" s="745"/>
      <c r="R35" s="745"/>
      <c r="S35" s="745"/>
      <c r="Y35" s="9"/>
      <c r="Z35" s="9"/>
      <c r="AA35" s="9"/>
      <c r="AB35" s="9"/>
      <c r="AC35" s="9"/>
      <c r="AD35" s="9"/>
    </row>
    <row r="36" spans="1:30" x14ac:dyDescent="0.2">
      <c r="A36" s="785">
        <f t="shared" si="0"/>
        <v>28</v>
      </c>
      <c r="B36" s="781" t="s">
        <v>640</v>
      </c>
      <c r="C36" s="748">
        <f>-(C26+C34-L44)-C27-C37</f>
        <v>-336807</v>
      </c>
      <c r="D36" s="748">
        <f>-(D26+D34-M44)-D27-D37</f>
        <v>-287108</v>
      </c>
      <c r="E36" s="748">
        <f>-(E26+E34-N44)-E27-E37</f>
        <v>-623915</v>
      </c>
      <c r="F36" s="748"/>
      <c r="G36" s="748"/>
      <c r="H36" s="748"/>
      <c r="I36" s="748"/>
      <c r="J36" s="748"/>
      <c r="K36" s="748" t="s">
        <v>8</v>
      </c>
      <c r="L36" s="751"/>
      <c r="M36" s="751"/>
      <c r="N36" s="751"/>
      <c r="O36" s="745"/>
      <c r="P36" s="745"/>
      <c r="Q36" s="745"/>
      <c r="R36" s="745"/>
      <c r="S36" s="745"/>
      <c r="Y36" s="9"/>
      <c r="Z36" s="9"/>
      <c r="AA36" s="9"/>
      <c r="AB36" s="9"/>
      <c r="AC36" s="9"/>
      <c r="AD36" s="9"/>
    </row>
    <row r="37" spans="1:30" x14ac:dyDescent="0.2">
      <c r="A37" s="785">
        <f t="shared" si="0"/>
        <v>29</v>
      </c>
      <c r="B37" s="748" t="s">
        <v>688</v>
      </c>
      <c r="C37" s="748">
        <f>Össz.önkor.mérleg.!C46</f>
        <v>927</v>
      </c>
      <c r="D37" s="748">
        <f>Össz.önkor.mérleg.!D46</f>
        <v>0</v>
      </c>
      <c r="E37" s="748">
        <f>Össz.önkor.mérleg.!E46</f>
        <v>927</v>
      </c>
      <c r="F37" s="748"/>
      <c r="G37" s="748"/>
      <c r="H37" s="748"/>
      <c r="I37" s="748"/>
      <c r="J37" s="748"/>
      <c r="K37" s="748" t="s">
        <v>9</v>
      </c>
      <c r="L37" s="756">
        <f>Össz.önkor.mérleg.!L47</f>
        <v>30797</v>
      </c>
      <c r="M37" s="756">
        <f>Össz.önkor.mérleg.!M47</f>
        <v>4260</v>
      </c>
      <c r="N37" s="756">
        <f>Össz.önkor.mérleg.!N47</f>
        <v>35057</v>
      </c>
      <c r="O37" s="745"/>
      <c r="P37" s="745"/>
      <c r="Q37" s="745"/>
      <c r="R37" s="745"/>
      <c r="S37" s="745"/>
      <c r="Y37" s="9"/>
      <c r="Z37" s="9"/>
      <c r="AA37" s="9"/>
      <c r="AB37" s="9"/>
      <c r="AC37" s="9"/>
      <c r="AD37" s="9"/>
    </row>
    <row r="38" spans="1:30" s="10" customFormat="1" x14ac:dyDescent="0.2">
      <c r="A38" s="785">
        <f t="shared" si="0"/>
        <v>30</v>
      </c>
      <c r="B38" s="748" t="s">
        <v>689</v>
      </c>
      <c r="C38" s="748"/>
      <c r="D38" s="748"/>
      <c r="E38" s="748"/>
      <c r="F38" s="748"/>
      <c r="G38" s="748"/>
      <c r="H38" s="748"/>
      <c r="I38" s="748"/>
      <c r="J38" s="748"/>
      <c r="K38" s="748" t="s">
        <v>10</v>
      </c>
      <c r="L38" s="751"/>
      <c r="M38" s="751"/>
      <c r="N38" s="751"/>
      <c r="O38" s="760"/>
      <c r="P38" s="760"/>
      <c r="Q38" s="760"/>
      <c r="R38" s="760"/>
      <c r="S38" s="760"/>
      <c r="T38" s="125"/>
      <c r="U38" s="125"/>
      <c r="V38" s="125"/>
      <c r="W38" s="125"/>
      <c r="X38" s="125"/>
    </row>
    <row r="39" spans="1:30" s="10" customFormat="1" x14ac:dyDescent="0.2">
      <c r="A39" s="785">
        <f t="shared" si="0"/>
        <v>31</v>
      </c>
      <c r="B39" s="748" t="s">
        <v>690</v>
      </c>
      <c r="C39" s="748"/>
      <c r="D39" s="748"/>
      <c r="E39" s="748"/>
      <c r="F39" s="748"/>
      <c r="G39" s="748"/>
      <c r="H39" s="748"/>
      <c r="I39" s="748"/>
      <c r="J39" s="748"/>
      <c r="K39" s="748" t="s">
        <v>11</v>
      </c>
      <c r="L39" s="758"/>
      <c r="M39" s="758"/>
      <c r="N39" s="758"/>
      <c r="O39" s="760"/>
      <c r="P39" s="760"/>
      <c r="Q39" s="760"/>
      <c r="R39" s="760"/>
      <c r="S39" s="760"/>
      <c r="T39" s="125"/>
      <c r="U39" s="125"/>
      <c r="V39" s="125"/>
      <c r="W39" s="125"/>
      <c r="X39" s="125"/>
    </row>
    <row r="40" spans="1:30" s="10" customFormat="1" x14ac:dyDescent="0.2">
      <c r="A40" s="785">
        <f t="shared" si="0"/>
        <v>32</v>
      </c>
      <c r="B40" s="748" t="s">
        <v>691</v>
      </c>
      <c r="C40" s="748"/>
      <c r="D40" s="748"/>
      <c r="E40" s="748"/>
      <c r="F40" s="748"/>
      <c r="G40" s="748"/>
      <c r="H40" s="748"/>
      <c r="I40" s="748"/>
      <c r="J40" s="748"/>
      <c r="K40" s="748" t="s">
        <v>12</v>
      </c>
      <c r="L40" s="758"/>
      <c r="M40" s="761"/>
      <c r="N40" s="761"/>
      <c r="O40" s="760"/>
      <c r="P40" s="760"/>
      <c r="Q40" s="760"/>
      <c r="R40" s="760"/>
      <c r="S40" s="760"/>
      <c r="T40" s="125"/>
      <c r="U40" s="125"/>
      <c r="V40" s="125"/>
      <c r="W40" s="125"/>
      <c r="X40" s="125"/>
    </row>
    <row r="41" spans="1:30" s="10" customFormat="1" x14ac:dyDescent="0.2">
      <c r="A41" s="785">
        <f t="shared" si="0"/>
        <v>33</v>
      </c>
      <c r="B41" s="748" t="s">
        <v>0</v>
      </c>
      <c r="C41" s="748"/>
      <c r="D41" s="748"/>
      <c r="E41" s="748"/>
      <c r="F41" s="748"/>
      <c r="G41" s="748"/>
      <c r="H41" s="748"/>
      <c r="I41" s="748"/>
      <c r="J41" s="748"/>
      <c r="K41" s="748" t="s">
        <v>13</v>
      </c>
      <c r="L41" s="758"/>
      <c r="M41" s="758"/>
      <c r="N41" s="758"/>
      <c r="O41" s="760"/>
      <c r="P41" s="760"/>
      <c r="Q41" s="760"/>
      <c r="R41" s="760"/>
      <c r="S41" s="760"/>
      <c r="T41" s="125"/>
      <c r="U41" s="125"/>
      <c r="V41" s="125"/>
      <c r="W41" s="125"/>
      <c r="X41" s="125"/>
    </row>
    <row r="42" spans="1:30" x14ac:dyDescent="0.2">
      <c r="A42" s="785">
        <f t="shared" si="0"/>
        <v>34</v>
      </c>
      <c r="B42" s="748" t="s">
        <v>1</v>
      </c>
      <c r="C42" s="748">
        <f>Össz.önkor.mérleg.!C51</f>
        <v>0</v>
      </c>
      <c r="D42" s="748">
        <f>Össz.önkor.mérleg.!D51</f>
        <v>0</v>
      </c>
      <c r="E42" s="748">
        <f>Össz.önkor.mérleg.!E51</f>
        <v>0</v>
      </c>
      <c r="F42" s="748"/>
      <c r="G42" s="748"/>
      <c r="H42" s="748"/>
      <c r="I42" s="748"/>
      <c r="J42" s="748"/>
      <c r="K42" s="748" t="s">
        <v>14</v>
      </c>
      <c r="L42" s="758"/>
      <c r="M42" s="758"/>
      <c r="N42" s="758"/>
      <c r="O42" s="745"/>
      <c r="P42" s="745"/>
      <c r="Q42" s="745"/>
      <c r="R42" s="745"/>
      <c r="S42" s="745"/>
      <c r="Y42" s="9"/>
      <c r="Z42" s="9"/>
      <c r="AA42" s="9"/>
      <c r="AB42" s="9"/>
      <c r="AC42" s="9"/>
      <c r="AD42" s="9"/>
    </row>
    <row r="43" spans="1:30" x14ac:dyDescent="0.2">
      <c r="A43" s="785">
        <f t="shared" si="0"/>
        <v>35</v>
      </c>
      <c r="B43" s="748" t="s">
        <v>2</v>
      </c>
      <c r="C43" s="748"/>
      <c r="D43" s="748"/>
      <c r="E43" s="748"/>
      <c r="F43" s="748"/>
      <c r="G43" s="748"/>
      <c r="H43" s="748"/>
      <c r="I43" s="748"/>
      <c r="J43" s="748"/>
      <c r="K43" s="748" t="s">
        <v>15</v>
      </c>
      <c r="L43" s="758"/>
      <c r="M43" s="758"/>
      <c r="N43" s="758"/>
      <c r="O43" s="745"/>
      <c r="P43" s="745"/>
      <c r="Q43" s="745"/>
      <c r="R43" s="745"/>
      <c r="S43" s="745"/>
      <c r="Y43" s="9"/>
      <c r="Z43" s="9"/>
      <c r="AA43" s="9"/>
      <c r="AB43" s="9"/>
      <c r="AC43" s="9"/>
      <c r="AD43" s="9"/>
    </row>
    <row r="44" spans="1:30" ht="12" thickBot="1" x14ac:dyDescent="0.25">
      <c r="A44" s="794">
        <f t="shared" si="0"/>
        <v>36</v>
      </c>
      <c r="B44" s="795" t="s">
        <v>449</v>
      </c>
      <c r="C44" s="768">
        <f>SUM(C29:C42)</f>
        <v>927</v>
      </c>
      <c r="D44" s="768">
        <f t="shared" ref="D44:E44" si="1">SUM(D29:D42)</f>
        <v>8030</v>
      </c>
      <c r="E44" s="768">
        <f t="shared" si="1"/>
        <v>8957</v>
      </c>
      <c r="F44" s="768"/>
      <c r="G44" s="768"/>
      <c r="H44" s="768"/>
      <c r="I44" s="768"/>
      <c r="J44" s="768"/>
      <c r="K44" s="768" t="s">
        <v>442</v>
      </c>
      <c r="L44" s="769">
        <f>SUM(L29:L43)</f>
        <v>30797</v>
      </c>
      <c r="M44" s="769">
        <f>SUM(M29:M43)</f>
        <v>4260</v>
      </c>
      <c r="N44" s="769">
        <f>SUM(N29:N43)</f>
        <v>35057</v>
      </c>
      <c r="O44" s="770"/>
      <c r="P44" s="770"/>
      <c r="Q44" s="770"/>
      <c r="R44" s="770"/>
      <c r="S44" s="770"/>
      <c r="Y44" s="9"/>
      <c r="Z44" s="9"/>
      <c r="AA44" s="9"/>
      <c r="AB44" s="9"/>
      <c r="AC44" s="9"/>
      <c r="AD44" s="9"/>
    </row>
    <row r="45" spans="1:30" ht="12" thickBot="1" x14ac:dyDescent="0.25">
      <c r="A45" s="796">
        <f t="shared" si="0"/>
        <v>37</v>
      </c>
      <c r="B45" s="685" t="s">
        <v>444</v>
      </c>
      <c r="C45" s="682">
        <f>C24+C44+C27</f>
        <v>1481817</v>
      </c>
      <c r="D45" s="682">
        <f t="shared" ref="D45:E45" si="2">D24+D44+D27</f>
        <v>1288164</v>
      </c>
      <c r="E45" s="682">
        <f t="shared" si="2"/>
        <v>2769981</v>
      </c>
      <c r="F45" s="682"/>
      <c r="G45" s="682"/>
      <c r="H45" s="682"/>
      <c r="I45" s="682"/>
      <c r="J45" s="682"/>
      <c r="K45" s="685" t="s">
        <v>443</v>
      </c>
      <c r="L45" s="682">
        <f>L24+L44</f>
        <v>1481817</v>
      </c>
      <c r="M45" s="682">
        <f>M24+M44</f>
        <v>1288164</v>
      </c>
      <c r="N45" s="772">
        <f>N24+N44</f>
        <v>2769981</v>
      </c>
      <c r="O45" s="773"/>
      <c r="P45" s="773"/>
      <c r="Q45" s="773"/>
      <c r="R45" s="773"/>
      <c r="S45" s="797"/>
      <c r="Y45" s="9"/>
      <c r="Z45" s="9"/>
      <c r="AA45" s="9"/>
      <c r="AB45" s="9"/>
      <c r="AC45" s="9"/>
      <c r="AD45" s="9"/>
    </row>
    <row r="46" spans="1:30" x14ac:dyDescent="0.2">
      <c r="B46" s="125"/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Y46" s="9"/>
      <c r="Z46" s="9"/>
      <c r="AA46" s="9"/>
      <c r="AB46" s="9"/>
      <c r="AC46" s="9"/>
      <c r="AD46" s="9"/>
    </row>
  </sheetData>
  <sheetProtection selectLockedCells="1" selectUnlockedCells="1"/>
  <mergeCells count="15">
    <mergeCell ref="O7:P7"/>
    <mergeCell ref="Q7:S7"/>
    <mergeCell ref="L6:S6"/>
    <mergeCell ref="C6:J6"/>
    <mergeCell ref="B1:N1"/>
    <mergeCell ref="C7:E7"/>
    <mergeCell ref="L7:N7"/>
    <mergeCell ref="B3:N3"/>
    <mergeCell ref="B4:N4"/>
    <mergeCell ref="A5:N5"/>
    <mergeCell ref="A6:A8"/>
    <mergeCell ref="B6:B7"/>
    <mergeCell ref="K6:K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82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55"/>
  <sheetViews>
    <sheetView topLeftCell="A19" zoomScale="120" workbookViewId="0">
      <selection activeCell="J39" sqref="J39"/>
    </sheetView>
  </sheetViews>
  <sheetFormatPr defaultColWidth="9.140625" defaultRowHeight="11.25" x14ac:dyDescent="0.2"/>
  <cols>
    <col min="1" max="1" width="4.85546875" style="113" customWidth="1"/>
    <col min="2" max="2" width="36.85546875" style="113" customWidth="1"/>
    <col min="3" max="4" width="11.28515625" style="114" customWidth="1"/>
    <col min="5" max="10" width="11.140625" style="114" customWidth="1"/>
    <col min="11" max="11" width="35.42578125" style="114" customWidth="1"/>
    <col min="12" max="14" width="11" style="198" customWidth="1"/>
    <col min="15" max="15" width="11" style="113" customWidth="1"/>
    <col min="16" max="18" width="11" style="9" customWidth="1"/>
    <col min="19" max="19" width="11.140625" style="9" customWidth="1"/>
    <col min="20" max="16384" width="9.140625" style="9"/>
  </cols>
  <sheetData>
    <row r="1" spans="1:19" ht="12.75" customHeight="1" x14ac:dyDescent="0.2">
      <c r="B1" s="1409" t="s">
        <v>1350</v>
      </c>
      <c r="C1" s="1409"/>
      <c r="D1" s="1409"/>
      <c r="E1" s="1409"/>
      <c r="F1" s="1409"/>
      <c r="G1" s="1409"/>
      <c r="H1" s="1409"/>
      <c r="I1" s="1409"/>
      <c r="J1" s="1409"/>
      <c r="K1" s="1409"/>
      <c r="L1" s="1409"/>
      <c r="M1" s="1409"/>
      <c r="N1" s="1409"/>
      <c r="O1" s="1409"/>
      <c r="P1" s="1409"/>
      <c r="Q1" s="1409"/>
      <c r="R1" s="1409"/>
      <c r="S1" s="1409"/>
    </row>
    <row r="2" spans="1:19" x14ac:dyDescent="0.2">
      <c r="N2" s="246"/>
    </row>
    <row r="3" spans="1:19" x14ac:dyDescent="0.2">
      <c r="N3" s="246"/>
    </row>
    <row r="4" spans="1:19" s="95" customFormat="1" x14ac:dyDescent="0.2">
      <c r="A4" s="116"/>
      <c r="B4" s="1414" t="s">
        <v>77</v>
      </c>
      <c r="C4" s="1414"/>
      <c r="D4" s="1414"/>
      <c r="E4" s="1414"/>
      <c r="F4" s="1414"/>
      <c r="G4" s="1414"/>
      <c r="H4" s="1414"/>
      <c r="I4" s="1414"/>
      <c r="J4" s="1414"/>
      <c r="K4" s="1414"/>
      <c r="L4" s="1414"/>
      <c r="M4" s="1414"/>
      <c r="N4" s="1414"/>
      <c r="O4" s="1414"/>
      <c r="P4" s="1414"/>
      <c r="Q4" s="1414"/>
      <c r="R4" s="1414"/>
      <c r="S4" s="1414"/>
    </row>
    <row r="5" spans="1:19" s="95" customFormat="1" x14ac:dyDescent="0.2">
      <c r="A5" s="116"/>
      <c r="B5" s="1551" t="s">
        <v>184</v>
      </c>
      <c r="C5" s="1551"/>
      <c r="D5" s="1551"/>
      <c r="E5" s="1551"/>
      <c r="F5" s="1551"/>
      <c r="G5" s="1551"/>
      <c r="H5" s="1551"/>
      <c r="I5" s="1551"/>
      <c r="J5" s="1551"/>
      <c r="K5" s="1551"/>
      <c r="L5" s="1551"/>
      <c r="M5" s="1551"/>
      <c r="N5" s="1551"/>
      <c r="O5" s="1551"/>
      <c r="P5" s="1551"/>
      <c r="Q5" s="1551"/>
      <c r="R5" s="1551"/>
      <c r="S5" s="1551"/>
    </row>
    <row r="6" spans="1:19" s="95" customFormat="1" x14ac:dyDescent="0.2">
      <c r="A6" s="116"/>
      <c r="B6" s="1414" t="s">
        <v>1161</v>
      </c>
      <c r="C6" s="1414"/>
      <c r="D6" s="1414"/>
      <c r="E6" s="1414"/>
      <c r="F6" s="1414"/>
      <c r="G6" s="1414"/>
      <c r="H6" s="1414"/>
      <c r="I6" s="1414"/>
      <c r="J6" s="1414"/>
      <c r="K6" s="1414"/>
      <c r="L6" s="1414"/>
      <c r="M6" s="1414"/>
      <c r="N6" s="1414"/>
      <c r="O6" s="1414"/>
      <c r="P6" s="1414"/>
      <c r="Q6" s="1414"/>
      <c r="R6" s="1414"/>
      <c r="S6" s="1414"/>
    </row>
    <row r="7" spans="1:19" s="95" customFormat="1" x14ac:dyDescent="0.2">
      <c r="A7" s="116"/>
      <c r="B7" s="1416" t="s">
        <v>303</v>
      </c>
      <c r="C7" s="1416"/>
      <c r="D7" s="1416"/>
      <c r="E7" s="1416"/>
      <c r="F7" s="1416"/>
      <c r="G7" s="1416"/>
      <c r="H7" s="1416"/>
      <c r="I7" s="1416"/>
      <c r="J7" s="1416"/>
      <c r="K7" s="1416"/>
      <c r="L7" s="1416"/>
      <c r="M7" s="1416"/>
      <c r="N7" s="1416"/>
      <c r="O7" s="1416"/>
      <c r="P7" s="1416"/>
      <c r="Q7" s="1416"/>
      <c r="R7" s="1416"/>
      <c r="S7" s="1416"/>
    </row>
    <row r="8" spans="1:19" s="95" customFormat="1" ht="12.75" customHeight="1" x14ac:dyDescent="0.2">
      <c r="A8" s="1410" t="s">
        <v>56</v>
      </c>
      <c r="B8" s="1411" t="s">
        <v>57</v>
      </c>
      <c r="C8" s="1411" t="s">
        <v>58</v>
      </c>
      <c r="D8" s="1411"/>
      <c r="E8" s="1411"/>
      <c r="F8" s="1411"/>
      <c r="G8" s="1411"/>
      <c r="H8" s="1411"/>
      <c r="I8" s="1411"/>
      <c r="J8" s="1411"/>
      <c r="K8" s="1430" t="s">
        <v>59</v>
      </c>
      <c r="L8" s="1657" t="s">
        <v>60</v>
      </c>
      <c r="M8" s="1657"/>
      <c r="N8" s="1657"/>
      <c r="O8" s="1657"/>
      <c r="P8" s="1657"/>
      <c r="Q8" s="1657"/>
      <c r="R8" s="1657"/>
      <c r="S8" s="1657"/>
    </row>
    <row r="9" spans="1:19" s="95" customFormat="1" ht="12.75" customHeight="1" x14ac:dyDescent="0.2">
      <c r="A9" s="1410"/>
      <c r="B9" s="1411"/>
      <c r="C9" s="1413" t="s">
        <v>1345</v>
      </c>
      <c r="D9" s="1413"/>
      <c r="E9" s="1413"/>
      <c r="F9" s="1413" t="s">
        <v>1337</v>
      </c>
      <c r="G9" s="1413"/>
      <c r="H9" s="1413" t="s">
        <v>1338</v>
      </c>
      <c r="I9" s="1413"/>
      <c r="J9" s="1413"/>
      <c r="K9" s="1430"/>
      <c r="L9" s="1658" t="s">
        <v>1345</v>
      </c>
      <c r="M9" s="1658"/>
      <c r="N9" s="1658"/>
      <c r="O9" s="1413" t="s">
        <v>1337</v>
      </c>
      <c r="P9" s="1413"/>
      <c r="Q9" s="1413" t="s">
        <v>1338</v>
      </c>
      <c r="R9" s="1413"/>
      <c r="S9" s="1413"/>
    </row>
    <row r="10" spans="1:19" s="210" customFormat="1" ht="36.6" customHeight="1" x14ac:dyDescent="0.2">
      <c r="A10" s="1410"/>
      <c r="B10" s="1404" t="s">
        <v>61</v>
      </c>
      <c r="C10" s="1306" t="s">
        <v>62</v>
      </c>
      <c r="D10" s="1306" t="s">
        <v>63</v>
      </c>
      <c r="E10" s="1306" t="s">
        <v>64</v>
      </c>
      <c r="F10" s="1306" t="s">
        <v>62</v>
      </c>
      <c r="G10" s="1306" t="s">
        <v>63</v>
      </c>
      <c r="H10" s="1306" t="s">
        <v>62</v>
      </c>
      <c r="I10" s="1306" t="s">
        <v>63</v>
      </c>
      <c r="J10" s="1306" t="s">
        <v>64</v>
      </c>
      <c r="K10" s="1305" t="s">
        <v>65</v>
      </c>
      <c r="L10" s="1405" t="s">
        <v>62</v>
      </c>
      <c r="M10" s="1405" t="s">
        <v>63</v>
      </c>
      <c r="N10" s="1405" t="s">
        <v>64</v>
      </c>
      <c r="O10" s="1306" t="s">
        <v>62</v>
      </c>
      <c r="P10" s="1306" t="s">
        <v>63</v>
      </c>
      <c r="Q10" s="1306" t="s">
        <v>62</v>
      </c>
      <c r="R10" s="1306" t="s">
        <v>63</v>
      </c>
      <c r="S10" s="1306" t="s">
        <v>64</v>
      </c>
    </row>
    <row r="11" spans="1:19" ht="11.45" customHeight="1" x14ac:dyDescent="0.2">
      <c r="A11" s="552">
        <v>1</v>
      </c>
      <c r="B11" s="1326" t="s">
        <v>24</v>
      </c>
      <c r="C11" s="121"/>
      <c r="D11" s="121"/>
      <c r="E11" s="1360"/>
      <c r="F11" s="121"/>
      <c r="G11" s="1360"/>
      <c r="H11" s="121"/>
      <c r="I11" s="121"/>
      <c r="J11" s="1360"/>
      <c r="K11" s="1337" t="s">
        <v>25</v>
      </c>
      <c r="L11" s="1336"/>
      <c r="M11" s="1336"/>
      <c r="N11" s="1406"/>
      <c r="O11" s="199"/>
      <c r="P11" s="1388"/>
      <c r="Q11" s="199"/>
      <c r="R11" s="199"/>
      <c r="S11" s="1388"/>
    </row>
    <row r="12" spans="1:19" x14ac:dyDescent="0.2">
      <c r="A12" s="552">
        <f t="shared" ref="A12:A54" si="0">A11+1</f>
        <v>2</v>
      </c>
      <c r="B12" s="118" t="s">
        <v>35</v>
      </c>
      <c r="C12" s="92"/>
      <c r="D12" s="92"/>
      <c r="E12" s="328">
        <f>SUM(C12:D12)</f>
        <v>0</v>
      </c>
      <c r="F12" s="92"/>
      <c r="G12" s="328"/>
      <c r="H12" s="92"/>
      <c r="I12" s="92"/>
      <c r="J12" s="328"/>
      <c r="K12" s="92" t="s">
        <v>216</v>
      </c>
      <c r="L12" s="193">
        <v>86936</v>
      </c>
      <c r="M12" s="193">
        <v>8217</v>
      </c>
      <c r="N12" s="1355">
        <f>SUM(L12:M12)</f>
        <v>95153</v>
      </c>
      <c r="O12" s="199"/>
      <c r="P12" s="1368"/>
      <c r="Q12" s="200">
        <f>L12+O12</f>
        <v>86936</v>
      </c>
      <c r="R12" s="200">
        <f>M12+P12</f>
        <v>8217</v>
      </c>
      <c r="S12" s="1361">
        <f>Q12+R12</f>
        <v>95153</v>
      </c>
    </row>
    <row r="13" spans="1:19" x14ac:dyDescent="0.2">
      <c r="A13" s="552">
        <f t="shared" si="0"/>
        <v>3</v>
      </c>
      <c r="B13" s="118" t="s">
        <v>36</v>
      </c>
      <c r="C13" s="92"/>
      <c r="D13" s="92"/>
      <c r="E13" s="328">
        <f>SUM(C13:D13)</f>
        <v>0</v>
      </c>
      <c r="F13" s="92"/>
      <c r="G13" s="328"/>
      <c r="H13" s="92"/>
      <c r="I13" s="92"/>
      <c r="J13" s="328"/>
      <c r="K13" s="1345" t="s">
        <v>217</v>
      </c>
      <c r="L13" s="193">
        <v>15178</v>
      </c>
      <c r="M13" s="193">
        <v>2235</v>
      </c>
      <c r="N13" s="1355">
        <f>SUM(L13:M13)</f>
        <v>17413</v>
      </c>
      <c r="O13" s="199"/>
      <c r="P13" s="1368"/>
      <c r="Q13" s="200">
        <f t="shared" ref="Q13:Q53" si="1">L13+O13</f>
        <v>15178</v>
      </c>
      <c r="R13" s="200">
        <f t="shared" ref="R13:R53" si="2">M13+P13</f>
        <v>2235</v>
      </c>
      <c r="S13" s="1361">
        <f t="shared" ref="S13:S53" si="3">Q13+R13</f>
        <v>17413</v>
      </c>
    </row>
    <row r="14" spans="1:19" x14ac:dyDescent="0.2">
      <c r="A14" s="552">
        <f t="shared" si="0"/>
        <v>4</v>
      </c>
      <c r="B14" s="118" t="s">
        <v>37</v>
      </c>
      <c r="C14" s="92"/>
      <c r="D14" s="92"/>
      <c r="E14" s="328">
        <f>SUM(C14:D14)</f>
        <v>0</v>
      </c>
      <c r="F14" s="92"/>
      <c r="G14" s="328"/>
      <c r="H14" s="92"/>
      <c r="I14" s="92"/>
      <c r="J14" s="328"/>
      <c r="K14" s="92" t="s">
        <v>218</v>
      </c>
      <c r="L14" s="193">
        <v>14015</v>
      </c>
      <c r="M14" s="193"/>
      <c r="N14" s="1355">
        <f>SUM(L14:M14)</f>
        <v>14015</v>
      </c>
      <c r="O14" s="199">
        <v>43</v>
      </c>
      <c r="P14" s="1368"/>
      <c r="Q14" s="200">
        <f t="shared" si="1"/>
        <v>14058</v>
      </c>
      <c r="R14" s="200">
        <f t="shared" si="2"/>
        <v>0</v>
      </c>
      <c r="S14" s="1361">
        <f t="shared" si="3"/>
        <v>14058</v>
      </c>
    </row>
    <row r="15" spans="1:19" ht="12" customHeight="1" x14ac:dyDescent="0.2">
      <c r="A15" s="552">
        <f t="shared" si="0"/>
        <v>5</v>
      </c>
      <c r="B15" s="1391"/>
      <c r="C15" s="92"/>
      <c r="D15" s="92"/>
      <c r="E15" s="328"/>
      <c r="F15" s="92"/>
      <c r="G15" s="328"/>
      <c r="H15" s="92"/>
      <c r="I15" s="92"/>
      <c r="J15" s="328"/>
      <c r="K15" s="92"/>
      <c r="L15" s="193"/>
      <c r="M15" s="193"/>
      <c r="N15" s="339"/>
      <c r="O15" s="199"/>
      <c r="P15" s="1368"/>
      <c r="Q15" s="200"/>
      <c r="R15" s="200"/>
      <c r="S15" s="1361"/>
    </row>
    <row r="16" spans="1:19" x14ac:dyDescent="0.2">
      <c r="A16" s="552">
        <f t="shared" si="0"/>
        <v>6</v>
      </c>
      <c r="B16" s="118" t="s">
        <v>38</v>
      </c>
      <c r="C16" s="92"/>
      <c r="D16" s="92"/>
      <c r="E16" s="328">
        <f>SUM(C16:D16)</f>
        <v>0</v>
      </c>
      <c r="F16" s="92"/>
      <c r="G16" s="328"/>
      <c r="H16" s="92"/>
      <c r="I16" s="92"/>
      <c r="J16" s="328"/>
      <c r="K16" s="92" t="s">
        <v>28</v>
      </c>
      <c r="L16" s="200"/>
      <c r="M16" s="200"/>
      <c r="N16" s="1361"/>
      <c r="O16" s="199"/>
      <c r="P16" s="1368"/>
      <c r="Q16" s="200"/>
      <c r="R16" s="200"/>
      <c r="S16" s="1361"/>
    </row>
    <row r="17" spans="1:19" x14ac:dyDescent="0.2">
      <c r="A17" s="552">
        <f t="shared" si="0"/>
        <v>7</v>
      </c>
      <c r="B17" s="118"/>
      <c r="C17" s="92"/>
      <c r="D17" s="92"/>
      <c r="E17" s="328"/>
      <c r="F17" s="92"/>
      <c r="G17" s="328"/>
      <c r="H17" s="92"/>
      <c r="I17" s="92"/>
      <c r="J17" s="328"/>
      <c r="K17" s="92" t="s">
        <v>30</v>
      </c>
      <c r="L17" s="200"/>
      <c r="M17" s="200"/>
      <c r="N17" s="1361"/>
      <c r="O17" s="199"/>
      <c r="P17" s="1368"/>
      <c r="Q17" s="200"/>
      <c r="R17" s="200"/>
      <c r="S17" s="1361"/>
    </row>
    <row r="18" spans="1:19" x14ac:dyDescent="0.2">
      <c r="A18" s="552">
        <f t="shared" si="0"/>
        <v>8</v>
      </c>
      <c r="B18" s="118" t="s">
        <v>39</v>
      </c>
      <c r="C18" s="92"/>
      <c r="D18" s="92"/>
      <c r="E18" s="328">
        <f>SUM(C18:D18)</f>
        <v>0</v>
      </c>
      <c r="F18" s="92"/>
      <c r="G18" s="328"/>
      <c r="H18" s="92"/>
      <c r="I18" s="92"/>
      <c r="J18" s="328"/>
      <c r="K18" s="92" t="s">
        <v>447</v>
      </c>
      <c r="L18" s="200"/>
      <c r="M18" s="200"/>
      <c r="N18" s="1361"/>
      <c r="O18" s="199"/>
      <c r="P18" s="1368"/>
      <c r="Q18" s="200"/>
      <c r="R18" s="200"/>
      <c r="S18" s="1361"/>
    </row>
    <row r="19" spans="1:19" x14ac:dyDescent="0.2">
      <c r="A19" s="552">
        <f t="shared" si="0"/>
        <v>9</v>
      </c>
      <c r="B19" s="120" t="s">
        <v>40</v>
      </c>
      <c r="C19" s="1390"/>
      <c r="D19" s="1390"/>
      <c r="E19" s="1396"/>
      <c r="F19" s="1390"/>
      <c r="G19" s="1396"/>
      <c r="H19" s="1390"/>
      <c r="I19" s="1390"/>
      <c r="J19" s="1396"/>
      <c r="K19" s="92" t="s">
        <v>446</v>
      </c>
      <c r="L19" s="200"/>
      <c r="M19" s="200"/>
      <c r="N19" s="1361"/>
      <c r="O19" s="199"/>
      <c r="P19" s="1368"/>
      <c r="Q19" s="200"/>
      <c r="R19" s="200"/>
      <c r="S19" s="1361"/>
    </row>
    <row r="20" spans="1:19" x14ac:dyDescent="0.2">
      <c r="A20" s="552">
        <f t="shared" si="0"/>
        <v>10</v>
      </c>
      <c r="B20" s="118" t="s">
        <v>41</v>
      </c>
      <c r="C20" s="1390">
        <v>0</v>
      </c>
      <c r="D20" s="1390"/>
      <c r="E20" s="1396">
        <f>SUM(C20:D20)</f>
        <v>0</v>
      </c>
      <c r="F20" s="1390"/>
      <c r="G20" s="1396"/>
      <c r="H20" s="1390"/>
      <c r="I20" s="1390"/>
      <c r="J20" s="1396"/>
      <c r="K20" s="119" t="s">
        <v>931</v>
      </c>
      <c r="L20" s="200"/>
      <c r="M20" s="200"/>
      <c r="N20" s="1361"/>
      <c r="O20" s="199"/>
      <c r="P20" s="1368"/>
      <c r="Q20" s="200"/>
      <c r="R20" s="200"/>
      <c r="S20" s="1361"/>
    </row>
    <row r="21" spans="1:19" x14ac:dyDescent="0.2">
      <c r="A21" s="552">
        <f t="shared" si="0"/>
        <v>11</v>
      </c>
      <c r="B21" s="1330"/>
      <c r="C21" s="1390"/>
      <c r="D21" s="1390"/>
      <c r="E21" s="1396"/>
      <c r="F21" s="1390"/>
      <c r="G21" s="1396"/>
      <c r="H21" s="1390"/>
      <c r="I21" s="1390"/>
      <c r="J21" s="1396"/>
      <c r="K21" s="92" t="s">
        <v>932</v>
      </c>
      <c r="L21" s="200"/>
      <c r="M21" s="200"/>
      <c r="N21" s="1361"/>
      <c r="O21" s="199"/>
      <c r="P21" s="1368"/>
      <c r="Q21" s="200"/>
      <c r="R21" s="200"/>
      <c r="S21" s="1361"/>
    </row>
    <row r="22" spans="1:19" s="97" customFormat="1" x14ac:dyDescent="0.2">
      <c r="A22" s="552">
        <f t="shared" si="0"/>
        <v>12</v>
      </c>
      <c r="B22" s="1330" t="s">
        <v>42</v>
      </c>
      <c r="C22" s="1390"/>
      <c r="D22" s="1390"/>
      <c r="E22" s="1396"/>
      <c r="F22" s="1390"/>
      <c r="G22" s="1396"/>
      <c r="H22" s="1390"/>
      <c r="I22" s="1390"/>
      <c r="J22" s="1396"/>
      <c r="K22" s="92" t="s">
        <v>933</v>
      </c>
      <c r="L22" s="200"/>
      <c r="M22" s="200"/>
      <c r="N22" s="1361"/>
      <c r="O22" s="1348"/>
      <c r="P22" s="1369"/>
      <c r="Q22" s="200"/>
      <c r="R22" s="200"/>
      <c r="S22" s="1361"/>
    </row>
    <row r="23" spans="1:19" s="97" customFormat="1" x14ac:dyDescent="0.2">
      <c r="A23" s="552">
        <f t="shared" si="0"/>
        <v>13</v>
      </c>
      <c r="B23" s="1330" t="s">
        <v>43</v>
      </c>
      <c r="C23" s="1390"/>
      <c r="D23" s="1390"/>
      <c r="E23" s="1396"/>
      <c r="F23" s="1390"/>
      <c r="G23" s="1396"/>
      <c r="H23" s="1390"/>
      <c r="I23" s="1390"/>
      <c r="J23" s="1396"/>
      <c r="K23" s="119"/>
      <c r="L23" s="200"/>
      <c r="M23" s="200"/>
      <c r="N23" s="1361"/>
      <c r="O23" s="1348"/>
      <c r="P23" s="1369"/>
      <c r="Q23" s="200"/>
      <c r="R23" s="200"/>
      <c r="S23" s="1361"/>
    </row>
    <row r="24" spans="1:19" x14ac:dyDescent="0.2">
      <c r="A24" s="552">
        <f t="shared" si="0"/>
        <v>14</v>
      </c>
      <c r="B24" s="118" t="s">
        <v>44</v>
      </c>
      <c r="C24" s="1392"/>
      <c r="D24" s="1392"/>
      <c r="E24" s="1397"/>
      <c r="F24" s="1392"/>
      <c r="G24" s="1397"/>
      <c r="H24" s="1392"/>
      <c r="I24" s="1392"/>
      <c r="J24" s="1397"/>
      <c r="K24" s="1374" t="s">
        <v>66</v>
      </c>
      <c r="L24" s="1349">
        <f>SUM(L12:L22)</f>
        <v>116129</v>
      </c>
      <c r="M24" s="1349">
        <f>SUM(M12:M22)</f>
        <v>10452</v>
      </c>
      <c r="N24" s="1362">
        <f>SUM(N12:N22)</f>
        <v>126581</v>
      </c>
      <c r="O24" s="199">
        <f>SUM(O12:O23)</f>
        <v>43</v>
      </c>
      <c r="P24" s="1368"/>
      <c r="Q24" s="200">
        <f t="shared" si="1"/>
        <v>116172</v>
      </c>
      <c r="R24" s="200">
        <f t="shared" si="2"/>
        <v>10452</v>
      </c>
      <c r="S24" s="1361">
        <f t="shared" si="3"/>
        <v>126624</v>
      </c>
    </row>
    <row r="25" spans="1:19" x14ac:dyDescent="0.2">
      <c r="A25" s="552">
        <f t="shared" si="0"/>
        <v>15</v>
      </c>
      <c r="B25" s="118" t="s">
        <v>45</v>
      </c>
      <c r="C25" s="1390"/>
      <c r="D25" s="1390"/>
      <c r="E25" s="1396"/>
      <c r="F25" s="1390"/>
      <c r="G25" s="1396"/>
      <c r="H25" s="1390"/>
      <c r="I25" s="1390"/>
      <c r="J25" s="1396"/>
      <c r="K25" s="119"/>
      <c r="L25" s="200"/>
      <c r="M25" s="200"/>
      <c r="N25" s="1361"/>
      <c r="O25" s="199"/>
      <c r="P25" s="1368"/>
      <c r="Q25" s="200"/>
      <c r="R25" s="200"/>
      <c r="S25" s="1361"/>
    </row>
    <row r="26" spans="1:19" x14ac:dyDescent="0.2">
      <c r="A26" s="552">
        <f t="shared" si="0"/>
        <v>16</v>
      </c>
      <c r="B26" s="118" t="s">
        <v>46</v>
      </c>
      <c r="C26" s="1337"/>
      <c r="D26" s="1337"/>
      <c r="E26" s="360"/>
      <c r="F26" s="1337"/>
      <c r="G26" s="360"/>
      <c r="H26" s="1337"/>
      <c r="I26" s="1337"/>
      <c r="J26" s="360"/>
      <c r="K26" s="1337" t="s">
        <v>34</v>
      </c>
      <c r="L26" s="1336"/>
      <c r="M26" s="1336"/>
      <c r="N26" s="1361"/>
      <c r="O26" s="199"/>
      <c r="P26" s="1368"/>
      <c r="Q26" s="200"/>
      <c r="R26" s="200"/>
      <c r="S26" s="1361"/>
    </row>
    <row r="27" spans="1:19" x14ac:dyDescent="0.2">
      <c r="A27" s="552">
        <f t="shared" si="0"/>
        <v>17</v>
      </c>
      <c r="B27" s="118" t="s">
        <v>47</v>
      </c>
      <c r="C27" s="92"/>
      <c r="D27" s="92"/>
      <c r="E27" s="328"/>
      <c r="F27" s="92"/>
      <c r="G27" s="328"/>
      <c r="H27" s="92"/>
      <c r="I27" s="92"/>
      <c r="J27" s="328"/>
      <c r="K27" s="92" t="s">
        <v>227</v>
      </c>
      <c r="L27" s="200">
        <f>'felhalm. kiad.  '!M132</f>
        <v>2000</v>
      </c>
      <c r="M27" s="200">
        <f>'felhalm. kiad.  '!P132</f>
        <v>0</v>
      </c>
      <c r="N27" s="1361">
        <f>SUM(L27:M27)</f>
        <v>2000</v>
      </c>
      <c r="O27" s="199"/>
      <c r="P27" s="1368"/>
      <c r="Q27" s="200">
        <f t="shared" si="1"/>
        <v>2000</v>
      </c>
      <c r="R27" s="200">
        <f t="shared" si="2"/>
        <v>0</v>
      </c>
      <c r="S27" s="1361">
        <f t="shared" si="3"/>
        <v>2000</v>
      </c>
    </row>
    <row r="28" spans="1:19" x14ac:dyDescent="0.2">
      <c r="A28" s="552">
        <f t="shared" si="0"/>
        <v>18</v>
      </c>
      <c r="B28" s="118"/>
      <c r="C28" s="92"/>
      <c r="D28" s="92"/>
      <c r="E28" s="328"/>
      <c r="F28" s="92"/>
      <c r="G28" s="328"/>
      <c r="H28" s="92"/>
      <c r="I28" s="92"/>
      <c r="J28" s="328"/>
      <c r="K28" s="92" t="s">
        <v>31</v>
      </c>
      <c r="L28" s="200"/>
      <c r="M28" s="200"/>
      <c r="N28" s="1361"/>
      <c r="O28" s="199"/>
      <c r="P28" s="1368"/>
      <c r="Q28" s="200"/>
      <c r="R28" s="200"/>
      <c r="S28" s="1361"/>
    </row>
    <row r="29" spans="1:19" x14ac:dyDescent="0.2">
      <c r="A29" s="552">
        <f t="shared" si="0"/>
        <v>19</v>
      </c>
      <c r="B29" s="1330" t="s">
        <v>50</v>
      </c>
      <c r="C29" s="92"/>
      <c r="D29" s="92"/>
      <c r="E29" s="328"/>
      <c r="F29" s="92"/>
      <c r="G29" s="328"/>
      <c r="H29" s="92"/>
      <c r="I29" s="92"/>
      <c r="J29" s="328"/>
      <c r="K29" s="92" t="s">
        <v>32</v>
      </c>
      <c r="L29" s="200"/>
      <c r="M29" s="200"/>
      <c r="N29" s="1361"/>
      <c r="O29" s="199"/>
      <c r="P29" s="1368"/>
      <c r="Q29" s="200"/>
      <c r="R29" s="200"/>
      <c r="S29" s="1361"/>
    </row>
    <row r="30" spans="1:19" s="97" customFormat="1" x14ac:dyDescent="0.2">
      <c r="A30" s="552">
        <f t="shared" si="0"/>
        <v>20</v>
      </c>
      <c r="B30" s="1330" t="s">
        <v>48</v>
      </c>
      <c r="C30" s="92"/>
      <c r="D30" s="92"/>
      <c r="E30" s="328"/>
      <c r="F30" s="92"/>
      <c r="G30" s="328"/>
      <c r="H30" s="92"/>
      <c r="I30" s="92"/>
      <c r="J30" s="328"/>
      <c r="K30" s="92" t="s">
        <v>448</v>
      </c>
      <c r="L30" s="200"/>
      <c r="M30" s="200"/>
      <c r="N30" s="1361"/>
      <c r="O30" s="1348"/>
      <c r="P30" s="1369"/>
      <c r="Q30" s="200"/>
      <c r="R30" s="200"/>
      <c r="S30" s="1361"/>
    </row>
    <row r="31" spans="1:19" x14ac:dyDescent="0.2">
      <c r="A31" s="552">
        <f t="shared" si="0"/>
        <v>21</v>
      </c>
      <c r="B31" s="1330"/>
      <c r="C31" s="92"/>
      <c r="D31" s="92"/>
      <c r="E31" s="328"/>
      <c r="F31" s="92"/>
      <c r="G31" s="328"/>
      <c r="H31" s="92"/>
      <c r="I31" s="92"/>
      <c r="J31" s="328"/>
      <c r="K31" s="92" t="s">
        <v>445</v>
      </c>
      <c r="L31" s="200"/>
      <c r="M31" s="200"/>
      <c r="N31" s="1361"/>
      <c r="O31" s="199"/>
      <c r="P31" s="1368"/>
      <c r="Q31" s="200"/>
      <c r="R31" s="200"/>
      <c r="S31" s="1361"/>
    </row>
    <row r="32" spans="1:19" s="10" customFormat="1" x14ac:dyDescent="0.2">
      <c r="A32" s="552">
        <f t="shared" si="0"/>
        <v>22</v>
      </c>
      <c r="B32" s="1333" t="s">
        <v>52</v>
      </c>
      <c r="C32" s="1390">
        <f>C14+C20</f>
        <v>0</v>
      </c>
      <c r="D32" s="1390">
        <f>D14+D20</f>
        <v>0</v>
      </c>
      <c r="E32" s="1396">
        <f>E14+E20</f>
        <v>0</v>
      </c>
      <c r="F32" s="1720">
        <f t="shared" ref="F32:J32" si="4">F14+F20</f>
        <v>0</v>
      </c>
      <c r="G32" s="1396">
        <f t="shared" si="4"/>
        <v>0</v>
      </c>
      <c r="H32" s="1720">
        <f t="shared" si="4"/>
        <v>0</v>
      </c>
      <c r="I32" s="1390">
        <f t="shared" si="4"/>
        <v>0</v>
      </c>
      <c r="J32" s="1396">
        <f t="shared" si="4"/>
        <v>0</v>
      </c>
      <c r="K32" s="92" t="s">
        <v>441</v>
      </c>
      <c r="L32" s="200"/>
      <c r="M32" s="200"/>
      <c r="N32" s="1361"/>
      <c r="O32" s="1350"/>
      <c r="P32" s="1363"/>
      <c r="Q32" s="200"/>
      <c r="R32" s="200"/>
      <c r="S32" s="1361"/>
    </row>
    <row r="33" spans="1:19" x14ac:dyDescent="0.2">
      <c r="A33" s="552">
        <f t="shared" si="0"/>
        <v>23</v>
      </c>
      <c r="B33" s="1376" t="s">
        <v>67</v>
      </c>
      <c r="C33" s="1394"/>
      <c r="D33" s="1394"/>
      <c r="E33" s="1401"/>
      <c r="F33" s="1721"/>
      <c r="G33" s="1401"/>
      <c r="H33" s="1721"/>
      <c r="I33" s="1394"/>
      <c r="J33" s="1401"/>
      <c r="K33" s="1392" t="s">
        <v>68</v>
      </c>
      <c r="L33" s="1349">
        <f>SUM(L27:L32)</f>
        <v>2000</v>
      </c>
      <c r="M33" s="1349">
        <f>SUM(M27:M32)</f>
        <v>0</v>
      </c>
      <c r="N33" s="1362">
        <f>SUM(N27:N31)</f>
        <v>2000</v>
      </c>
      <c r="O33" s="1726"/>
      <c r="P33" s="1715"/>
      <c r="Q33" s="1349">
        <f t="shared" si="1"/>
        <v>2000</v>
      </c>
      <c r="R33" s="1349">
        <f t="shared" si="2"/>
        <v>0</v>
      </c>
      <c r="S33" s="1362">
        <f t="shared" si="3"/>
        <v>2000</v>
      </c>
    </row>
    <row r="34" spans="1:19" x14ac:dyDescent="0.2">
      <c r="A34" s="552">
        <f t="shared" si="0"/>
        <v>24</v>
      </c>
      <c r="B34" s="123" t="s">
        <v>51</v>
      </c>
      <c r="C34" s="121">
        <f>SUM(C32:C33)</f>
        <v>0</v>
      </c>
      <c r="D34" s="121">
        <f>SUM(D32:D33)</f>
        <v>0</v>
      </c>
      <c r="E34" s="1354">
        <f>SUM(C34:D34)</f>
        <v>0</v>
      </c>
      <c r="F34" s="1719">
        <f t="shared" ref="F34:J34" si="5">SUM(D34:E34)</f>
        <v>0</v>
      </c>
      <c r="G34" s="1354">
        <f t="shared" si="5"/>
        <v>0</v>
      </c>
      <c r="H34" s="1719">
        <f t="shared" si="5"/>
        <v>0</v>
      </c>
      <c r="I34" s="121">
        <f t="shared" si="5"/>
        <v>0</v>
      </c>
      <c r="J34" s="1354">
        <f t="shared" si="5"/>
        <v>0</v>
      </c>
      <c r="K34" s="121" t="s">
        <v>69</v>
      </c>
      <c r="L34" s="1336">
        <f>L24+L33</f>
        <v>118129</v>
      </c>
      <c r="M34" s="1336">
        <f>M24+M33</f>
        <v>10452</v>
      </c>
      <c r="N34" s="1356">
        <f>N24+N33</f>
        <v>128581</v>
      </c>
      <c r="O34" s="1350">
        <f>O24+O33</f>
        <v>43</v>
      </c>
      <c r="P34" s="1363"/>
      <c r="Q34" s="1336">
        <f t="shared" si="1"/>
        <v>118172</v>
      </c>
      <c r="R34" s="1336">
        <f t="shared" si="2"/>
        <v>10452</v>
      </c>
      <c r="S34" s="1356">
        <f t="shared" si="3"/>
        <v>128624</v>
      </c>
    </row>
    <row r="35" spans="1:19" x14ac:dyDescent="0.2">
      <c r="A35" s="552">
        <f t="shared" si="0"/>
        <v>25</v>
      </c>
      <c r="B35" s="1330"/>
      <c r="C35" s="119"/>
      <c r="D35" s="119"/>
      <c r="E35" s="327"/>
      <c r="F35" s="119"/>
      <c r="G35" s="327"/>
      <c r="H35" s="119"/>
      <c r="I35" s="119"/>
      <c r="J35" s="327"/>
      <c r="K35" s="119"/>
      <c r="L35" s="200"/>
      <c r="M35" s="200"/>
      <c r="N35" s="1361"/>
      <c r="O35" s="199"/>
      <c r="P35" s="1368"/>
      <c r="Q35" s="200"/>
      <c r="R35" s="200"/>
      <c r="S35" s="1361"/>
    </row>
    <row r="36" spans="1:19" x14ac:dyDescent="0.2">
      <c r="A36" s="552">
        <f t="shared" si="0"/>
        <v>26</v>
      </c>
      <c r="B36" s="1330"/>
      <c r="C36" s="119"/>
      <c r="D36" s="119"/>
      <c r="E36" s="327"/>
      <c r="F36" s="119"/>
      <c r="G36" s="327"/>
      <c r="H36" s="119"/>
      <c r="I36" s="119"/>
      <c r="J36" s="327"/>
      <c r="K36" s="1374"/>
      <c r="L36" s="1349"/>
      <c r="M36" s="1349"/>
      <c r="N36" s="1362"/>
      <c r="O36" s="199"/>
      <c r="P36" s="1368"/>
      <c r="Q36" s="200"/>
      <c r="R36" s="200"/>
      <c r="S36" s="1361"/>
    </row>
    <row r="37" spans="1:19" s="10" customFormat="1" x14ac:dyDescent="0.2">
      <c r="A37" s="552">
        <f t="shared" si="0"/>
        <v>27</v>
      </c>
      <c r="B37" s="1330"/>
      <c r="C37" s="119"/>
      <c r="D37" s="119"/>
      <c r="E37" s="327"/>
      <c r="F37" s="119"/>
      <c r="G37" s="327"/>
      <c r="H37" s="119"/>
      <c r="I37" s="119"/>
      <c r="J37" s="327"/>
      <c r="K37" s="119"/>
      <c r="L37" s="200"/>
      <c r="M37" s="200"/>
      <c r="N37" s="1361"/>
      <c r="O37" s="1350"/>
      <c r="P37" s="1363"/>
      <c r="Q37" s="200"/>
      <c r="R37" s="200"/>
      <c r="S37" s="1361"/>
    </row>
    <row r="38" spans="1:19" s="10" customFormat="1" x14ac:dyDescent="0.2">
      <c r="A38" s="552">
        <f t="shared" si="0"/>
        <v>28</v>
      </c>
      <c r="B38" s="1337" t="s">
        <v>53</v>
      </c>
      <c r="C38" s="1337"/>
      <c r="D38" s="1337"/>
      <c r="E38" s="360"/>
      <c r="F38" s="1337"/>
      <c r="G38" s="360"/>
      <c r="H38" s="1337"/>
      <c r="I38" s="1337"/>
      <c r="J38" s="360"/>
      <c r="K38" s="1337" t="s">
        <v>33</v>
      </c>
      <c r="L38" s="1336"/>
      <c r="M38" s="1336"/>
      <c r="N38" s="1356"/>
      <c r="O38" s="1350"/>
      <c r="P38" s="1363"/>
      <c r="Q38" s="200"/>
      <c r="R38" s="200"/>
      <c r="S38" s="1361"/>
    </row>
    <row r="39" spans="1:19" s="10" customFormat="1" x14ac:dyDescent="0.2">
      <c r="A39" s="552">
        <f t="shared" si="0"/>
        <v>29</v>
      </c>
      <c r="B39" s="1338" t="s">
        <v>685</v>
      </c>
      <c r="C39" s="1337"/>
      <c r="D39" s="1337"/>
      <c r="E39" s="360"/>
      <c r="F39" s="1337"/>
      <c r="G39" s="360"/>
      <c r="H39" s="1337"/>
      <c r="I39" s="1337"/>
      <c r="J39" s="360"/>
      <c r="K39" s="1338" t="s">
        <v>4</v>
      </c>
      <c r="L39" s="1336"/>
      <c r="M39" s="1350"/>
      <c r="N39" s="1363"/>
      <c r="O39" s="1350"/>
      <c r="P39" s="1363"/>
      <c r="Q39" s="200"/>
      <c r="R39" s="200"/>
      <c r="S39" s="1361"/>
    </row>
    <row r="40" spans="1:19" s="10" customFormat="1" x14ac:dyDescent="0.2">
      <c r="A40" s="552">
        <f t="shared" si="0"/>
        <v>30</v>
      </c>
      <c r="B40" s="118" t="s">
        <v>964</v>
      </c>
      <c r="C40" s="1337"/>
      <c r="D40" s="1337"/>
      <c r="E40" s="360"/>
      <c r="F40" s="1337"/>
      <c r="G40" s="360"/>
      <c r="H40" s="1337"/>
      <c r="I40" s="1337"/>
      <c r="J40" s="360"/>
      <c r="K40" s="118" t="s">
        <v>3</v>
      </c>
      <c r="L40" s="1336"/>
      <c r="M40" s="1336"/>
      <c r="N40" s="1356"/>
      <c r="O40" s="1350"/>
      <c r="P40" s="1363"/>
      <c r="Q40" s="200"/>
      <c r="R40" s="200"/>
      <c r="S40" s="1361"/>
    </row>
    <row r="41" spans="1:19" x14ac:dyDescent="0.2">
      <c r="A41" s="552">
        <f t="shared" si="0"/>
        <v>31</v>
      </c>
      <c r="B41" s="92" t="s">
        <v>687</v>
      </c>
      <c r="C41" s="1395"/>
      <c r="D41" s="1395"/>
      <c r="E41" s="1399"/>
      <c r="F41" s="1395"/>
      <c r="G41" s="1399"/>
      <c r="H41" s="1395"/>
      <c r="I41" s="1395"/>
      <c r="J41" s="1399"/>
      <c r="K41" s="92" t="s">
        <v>5</v>
      </c>
      <c r="L41" s="1336"/>
      <c r="M41" s="1336"/>
      <c r="N41" s="1356"/>
      <c r="O41" s="199"/>
      <c r="P41" s="1368"/>
      <c r="Q41" s="200"/>
      <c r="R41" s="200"/>
      <c r="S41" s="1361"/>
    </row>
    <row r="42" spans="1:19" x14ac:dyDescent="0.2">
      <c r="A42" s="552">
        <f t="shared" si="0"/>
        <v>32</v>
      </c>
      <c r="B42" s="92" t="s">
        <v>208</v>
      </c>
      <c r="C42" s="92"/>
      <c r="D42" s="92"/>
      <c r="E42" s="328"/>
      <c r="F42" s="92"/>
      <c r="G42" s="328"/>
      <c r="H42" s="92"/>
      <c r="I42" s="92"/>
      <c r="J42" s="328"/>
      <c r="K42" s="92" t="s">
        <v>6</v>
      </c>
      <c r="L42" s="1336"/>
      <c r="M42" s="1336"/>
      <c r="N42" s="1356"/>
      <c r="O42" s="199"/>
      <c r="P42" s="1368"/>
      <c r="Q42" s="200"/>
      <c r="R42" s="200"/>
      <c r="S42" s="1361"/>
    </row>
    <row r="43" spans="1:19" x14ac:dyDescent="0.2">
      <c r="A43" s="552">
        <f t="shared" si="0"/>
        <v>33</v>
      </c>
      <c r="B43" s="1345" t="s">
        <v>209</v>
      </c>
      <c r="C43" s="92"/>
      <c r="D43" s="92"/>
      <c r="E43" s="328">
        <f>C43+D43</f>
        <v>0</v>
      </c>
      <c r="F43" s="102">
        <v>43</v>
      </c>
      <c r="G43" s="328"/>
      <c r="H43" s="92">
        <f>C43+F43</f>
        <v>43</v>
      </c>
      <c r="I43" s="92"/>
      <c r="J43" s="328">
        <f>H43+I43</f>
        <v>43</v>
      </c>
      <c r="K43" s="92" t="s">
        <v>7</v>
      </c>
      <c r="L43" s="1336"/>
      <c r="M43" s="1336"/>
      <c r="N43" s="1356"/>
      <c r="O43" s="199"/>
      <c r="P43" s="1368"/>
      <c r="Q43" s="200"/>
      <c r="R43" s="200"/>
      <c r="S43" s="1361"/>
    </row>
    <row r="44" spans="1:19" x14ac:dyDescent="0.2">
      <c r="A44" s="552">
        <f t="shared" si="0"/>
        <v>34</v>
      </c>
      <c r="B44" s="1345" t="s">
        <v>961</v>
      </c>
      <c r="C44" s="92"/>
      <c r="D44" s="92"/>
      <c r="E44" s="328"/>
      <c r="F44" s="92"/>
      <c r="G44" s="328"/>
      <c r="H44" s="92"/>
      <c r="I44" s="92"/>
      <c r="J44" s="328"/>
      <c r="K44" s="92"/>
      <c r="L44" s="1336"/>
      <c r="M44" s="1336"/>
      <c r="N44" s="1356"/>
      <c r="O44" s="199"/>
      <c r="P44" s="1368"/>
      <c r="Q44" s="200"/>
      <c r="R44" s="200"/>
      <c r="S44" s="1361"/>
    </row>
    <row r="45" spans="1:19" x14ac:dyDescent="0.2">
      <c r="A45" s="552">
        <f t="shared" si="0"/>
        <v>35</v>
      </c>
      <c r="B45" s="92" t="s">
        <v>688</v>
      </c>
      <c r="C45" s="92"/>
      <c r="D45" s="92"/>
      <c r="E45" s="328"/>
      <c r="F45" s="92"/>
      <c r="G45" s="328"/>
      <c r="H45" s="92"/>
      <c r="I45" s="92"/>
      <c r="J45" s="328"/>
      <c r="K45" s="92" t="s">
        <v>8</v>
      </c>
      <c r="L45" s="1336"/>
      <c r="M45" s="1336"/>
      <c r="N45" s="1361"/>
      <c r="O45" s="199"/>
      <c r="P45" s="1368"/>
      <c r="Q45" s="200"/>
      <c r="R45" s="200"/>
      <c r="S45" s="1361"/>
    </row>
    <row r="46" spans="1:19" x14ac:dyDescent="0.2">
      <c r="A46" s="552">
        <f t="shared" si="0"/>
        <v>36</v>
      </c>
      <c r="B46" s="92" t="s">
        <v>689</v>
      </c>
      <c r="C46" s="1337"/>
      <c r="D46" s="1337"/>
      <c r="E46" s="360"/>
      <c r="F46" s="1337"/>
      <c r="G46" s="360"/>
      <c r="H46" s="1337"/>
      <c r="I46" s="1337"/>
      <c r="J46" s="360"/>
      <c r="K46" s="92" t="s">
        <v>9</v>
      </c>
      <c r="L46" s="1336"/>
      <c r="M46" s="1336"/>
      <c r="N46" s="1361"/>
      <c r="O46" s="199"/>
      <c r="P46" s="1368"/>
      <c r="Q46" s="200"/>
      <c r="R46" s="200"/>
      <c r="S46" s="1361"/>
    </row>
    <row r="47" spans="1:19" x14ac:dyDescent="0.2">
      <c r="A47" s="552">
        <f t="shared" si="0"/>
        <v>37</v>
      </c>
      <c r="B47" s="92" t="s">
        <v>212</v>
      </c>
      <c r="C47" s="92"/>
      <c r="D47" s="92"/>
      <c r="E47" s="328"/>
      <c r="F47" s="92"/>
      <c r="G47" s="328"/>
      <c r="H47" s="92"/>
      <c r="I47" s="92"/>
      <c r="J47" s="328"/>
      <c r="K47" s="92" t="s">
        <v>10</v>
      </c>
      <c r="L47" s="200"/>
      <c r="M47" s="200"/>
      <c r="N47" s="1361"/>
      <c r="O47" s="199"/>
      <c r="P47" s="1368"/>
      <c r="Q47" s="200"/>
      <c r="R47" s="200"/>
      <c r="S47" s="1361"/>
    </row>
    <row r="48" spans="1:19" x14ac:dyDescent="0.2">
      <c r="A48" s="552">
        <f t="shared" si="0"/>
        <v>38</v>
      </c>
      <c r="B48" s="1345" t="s">
        <v>213</v>
      </c>
      <c r="C48" s="92">
        <f>L24-(C34+C43)</f>
        <v>116129</v>
      </c>
      <c r="D48" s="92">
        <f>M24-(D34+D43)</f>
        <v>10452</v>
      </c>
      <c r="E48" s="328">
        <f>N24-(E34+E43)</f>
        <v>126581</v>
      </c>
      <c r="F48" s="102">
        <f t="shared" ref="F48:J48" si="6">O24-(F34+F43)</f>
        <v>0</v>
      </c>
      <c r="G48" s="328">
        <f t="shared" si="6"/>
        <v>0</v>
      </c>
      <c r="H48" s="102">
        <f t="shared" si="6"/>
        <v>116129</v>
      </c>
      <c r="I48" s="92">
        <f t="shared" si="6"/>
        <v>10452</v>
      </c>
      <c r="J48" s="328">
        <f t="shared" si="6"/>
        <v>126581</v>
      </c>
      <c r="K48" s="92" t="s">
        <v>11</v>
      </c>
      <c r="L48" s="200"/>
      <c r="M48" s="200"/>
      <c r="N48" s="1361"/>
      <c r="O48" s="199"/>
      <c r="P48" s="1368"/>
      <c r="Q48" s="200"/>
      <c r="R48" s="200"/>
      <c r="S48" s="1361"/>
    </row>
    <row r="49" spans="1:19" x14ac:dyDescent="0.2">
      <c r="A49" s="552">
        <f t="shared" si="0"/>
        <v>39</v>
      </c>
      <c r="B49" s="1345" t="s">
        <v>214</v>
      </c>
      <c r="C49" s="92">
        <f>L33-C33</f>
        <v>2000</v>
      </c>
      <c r="D49" s="92"/>
      <c r="E49" s="328">
        <f>N33-E33</f>
        <v>2000</v>
      </c>
      <c r="F49" s="102">
        <f t="shared" ref="F49:J49" si="7">O33-F33</f>
        <v>0</v>
      </c>
      <c r="G49" s="328">
        <f t="shared" si="7"/>
        <v>0</v>
      </c>
      <c r="H49" s="102">
        <f t="shared" si="7"/>
        <v>2000</v>
      </c>
      <c r="I49" s="92">
        <f t="shared" si="7"/>
        <v>0</v>
      </c>
      <c r="J49" s="328">
        <f t="shared" si="7"/>
        <v>2000</v>
      </c>
      <c r="K49" s="92" t="s">
        <v>12</v>
      </c>
      <c r="L49" s="200"/>
      <c r="M49" s="200"/>
      <c r="N49" s="1361"/>
      <c r="O49" s="199"/>
      <c r="P49" s="1368"/>
      <c r="Q49" s="200"/>
      <c r="R49" s="200"/>
      <c r="S49" s="1361"/>
    </row>
    <row r="50" spans="1:19" x14ac:dyDescent="0.2">
      <c r="A50" s="552">
        <f t="shared" si="0"/>
        <v>40</v>
      </c>
      <c r="B50" s="92" t="s">
        <v>1</v>
      </c>
      <c r="C50" s="92"/>
      <c r="D50" s="92"/>
      <c r="E50" s="328"/>
      <c r="F50" s="102"/>
      <c r="G50" s="328"/>
      <c r="H50" s="102"/>
      <c r="I50" s="92"/>
      <c r="J50" s="328"/>
      <c r="K50" s="92" t="s">
        <v>13</v>
      </c>
      <c r="L50" s="200"/>
      <c r="M50" s="200"/>
      <c r="N50" s="1361"/>
      <c r="O50" s="199"/>
      <c r="P50" s="1368"/>
      <c r="Q50" s="200"/>
      <c r="R50" s="200"/>
      <c r="S50" s="1361"/>
    </row>
    <row r="51" spans="1:19" x14ac:dyDescent="0.2">
      <c r="A51" s="552">
        <f t="shared" si="0"/>
        <v>41</v>
      </c>
      <c r="B51" s="92"/>
      <c r="C51" s="92"/>
      <c r="D51" s="92"/>
      <c r="E51" s="328"/>
      <c r="F51" s="102"/>
      <c r="G51" s="328"/>
      <c r="H51" s="102"/>
      <c r="I51" s="92"/>
      <c r="J51" s="328"/>
      <c r="K51" s="92" t="s">
        <v>14</v>
      </c>
      <c r="L51" s="200"/>
      <c r="M51" s="200"/>
      <c r="N51" s="1361"/>
      <c r="O51" s="199"/>
      <c r="P51" s="1368"/>
      <c r="Q51" s="200"/>
      <c r="R51" s="200"/>
      <c r="S51" s="1361"/>
    </row>
    <row r="52" spans="1:19" x14ac:dyDescent="0.2">
      <c r="A52" s="552">
        <f t="shared" si="0"/>
        <v>42</v>
      </c>
      <c r="B52" s="92"/>
      <c r="C52" s="92"/>
      <c r="D52" s="92"/>
      <c r="E52" s="328"/>
      <c r="F52" s="92"/>
      <c r="G52" s="328"/>
      <c r="H52" s="92"/>
      <c r="I52" s="92"/>
      <c r="J52" s="328"/>
      <c r="K52" s="92" t="s">
        <v>15</v>
      </c>
      <c r="L52" s="200"/>
      <c r="M52" s="200"/>
      <c r="N52" s="1361"/>
      <c r="O52" s="199"/>
      <c r="P52" s="1368"/>
      <c r="Q52" s="200"/>
      <c r="R52" s="200"/>
      <c r="S52" s="1361"/>
    </row>
    <row r="53" spans="1:19" ht="12" thickBot="1" x14ac:dyDescent="0.25">
      <c r="A53" s="552">
        <f t="shared" si="0"/>
        <v>43</v>
      </c>
      <c r="B53" s="123" t="s">
        <v>449</v>
      </c>
      <c r="C53" s="1337">
        <f>SUM(C39:C51)</f>
        <v>118129</v>
      </c>
      <c r="D53" s="1337">
        <f>SUM(D39:D51)</f>
        <v>10452</v>
      </c>
      <c r="E53" s="360">
        <f>SUM(E39:E51)</f>
        <v>128581</v>
      </c>
      <c r="F53" s="1337">
        <f>SUM(F43:F52)</f>
        <v>43</v>
      </c>
      <c r="G53" s="1727">
        <f t="shared" ref="G53:J53" si="8">SUM(G43:G52)</f>
        <v>0</v>
      </c>
      <c r="H53" s="1337">
        <f t="shared" si="8"/>
        <v>118172</v>
      </c>
      <c r="I53" s="1337">
        <f t="shared" si="8"/>
        <v>10452</v>
      </c>
      <c r="J53" s="1727">
        <f t="shared" si="8"/>
        <v>128624</v>
      </c>
      <c r="K53" s="1337" t="s">
        <v>442</v>
      </c>
      <c r="L53" s="1336">
        <f>SUM(L39:L52)</f>
        <v>0</v>
      </c>
      <c r="M53" s="1336">
        <f>SUM(M39:M52)</f>
        <v>0</v>
      </c>
      <c r="N53" s="1356">
        <f>SUM(N39:N52)</f>
        <v>0</v>
      </c>
      <c r="O53" s="199"/>
      <c r="P53" s="1368"/>
      <c r="Q53" s="1336">
        <f t="shared" si="1"/>
        <v>0</v>
      </c>
      <c r="R53" s="1336">
        <f t="shared" si="2"/>
        <v>0</v>
      </c>
      <c r="S53" s="1356">
        <f t="shared" si="3"/>
        <v>0</v>
      </c>
    </row>
    <row r="54" spans="1:19" ht="12" thickBot="1" x14ac:dyDescent="0.25">
      <c r="A54" s="684">
        <f t="shared" si="0"/>
        <v>44</v>
      </c>
      <c r="B54" s="683" t="s">
        <v>444</v>
      </c>
      <c r="C54" s="675">
        <f>C34+C53</f>
        <v>118129</v>
      </c>
      <c r="D54" s="675">
        <f>D34+D53</f>
        <v>10452</v>
      </c>
      <c r="E54" s="675">
        <f>E34+E53</f>
        <v>128581</v>
      </c>
      <c r="F54" s="675">
        <f>F53</f>
        <v>43</v>
      </c>
      <c r="G54" s="675">
        <f t="shared" ref="G54:J54" si="9">G53</f>
        <v>0</v>
      </c>
      <c r="H54" s="675">
        <f t="shared" si="9"/>
        <v>118172</v>
      </c>
      <c r="I54" s="675">
        <f t="shared" si="9"/>
        <v>10452</v>
      </c>
      <c r="J54" s="675">
        <f t="shared" si="9"/>
        <v>128624</v>
      </c>
      <c r="K54" s="1325" t="s">
        <v>443</v>
      </c>
      <c r="L54" s="682">
        <f>L34+L53</f>
        <v>118129</v>
      </c>
      <c r="M54" s="682">
        <f>M34+M53</f>
        <v>10452</v>
      </c>
      <c r="N54" s="682">
        <f>N34+N53</f>
        <v>128581</v>
      </c>
      <c r="O54" s="685">
        <f>O53+O34</f>
        <v>43</v>
      </c>
      <c r="P54" s="685"/>
      <c r="Q54" s="682">
        <f>Q34</f>
        <v>118172</v>
      </c>
      <c r="R54" s="682">
        <f t="shared" ref="R54:S54" si="10">R34</f>
        <v>10452</v>
      </c>
      <c r="S54" s="682">
        <f t="shared" si="10"/>
        <v>128624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8"/>
      <c r="M55" s="128"/>
      <c r="N55" s="128"/>
      <c r="O55" s="9"/>
    </row>
  </sheetData>
  <sheetProtection selectLockedCells="1" selectUnlockedCells="1"/>
  <mergeCells count="16">
    <mergeCell ref="B1:S1"/>
    <mergeCell ref="B4:S4"/>
    <mergeCell ref="B5:S5"/>
    <mergeCell ref="B6:S6"/>
    <mergeCell ref="B7:S7"/>
    <mergeCell ref="O9:P9"/>
    <mergeCell ref="Q9:S9"/>
    <mergeCell ref="L8:S8"/>
    <mergeCell ref="A8:A10"/>
    <mergeCell ref="B8:B9"/>
    <mergeCell ref="K8:K9"/>
    <mergeCell ref="C9:E9"/>
    <mergeCell ref="L9:N9"/>
    <mergeCell ref="F9:G9"/>
    <mergeCell ref="H9:J9"/>
    <mergeCell ref="C8:J8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8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60"/>
  <sheetViews>
    <sheetView topLeftCell="A15" workbookViewId="0">
      <selection activeCell="K61" sqref="K61"/>
    </sheetView>
  </sheetViews>
  <sheetFormatPr defaultColWidth="9.140625" defaultRowHeight="11.25" x14ac:dyDescent="0.2"/>
  <cols>
    <col min="1" max="1" width="4.85546875" style="113" customWidth="1"/>
    <col min="2" max="2" width="38.28515625" style="113" customWidth="1"/>
    <col min="3" max="10" width="11.140625" style="114" customWidth="1"/>
    <col min="11" max="11" width="38" style="114" customWidth="1"/>
    <col min="12" max="12" width="11.28515625" style="114" customWidth="1"/>
    <col min="13" max="14" width="11.28515625" style="198" customWidth="1"/>
    <col min="15" max="15" width="11.140625" style="113" customWidth="1"/>
    <col min="16" max="19" width="11.140625" style="9" customWidth="1"/>
    <col min="20" max="16384" width="9.140625" style="9"/>
  </cols>
  <sheetData>
    <row r="1" spans="1:19" ht="12.75" customHeight="1" x14ac:dyDescent="0.2">
      <c r="C1" s="1409" t="s">
        <v>1351</v>
      </c>
      <c r="D1" s="1409"/>
      <c r="E1" s="1409"/>
      <c r="F1" s="1409"/>
      <c r="G1" s="1409"/>
      <c r="H1" s="1409"/>
      <c r="I1" s="1409"/>
      <c r="J1" s="1409"/>
      <c r="K1" s="1409"/>
      <c r="L1" s="1409"/>
      <c r="M1" s="1409"/>
      <c r="N1" s="1409"/>
      <c r="O1" s="1409"/>
      <c r="P1" s="1409"/>
      <c r="Q1" s="1409"/>
      <c r="R1" s="1409"/>
      <c r="S1" s="1409"/>
    </row>
    <row r="2" spans="1:19" x14ac:dyDescent="0.2">
      <c r="N2" s="246"/>
    </row>
    <row r="3" spans="1:19" x14ac:dyDescent="0.2">
      <c r="N3" s="246"/>
    </row>
    <row r="4" spans="1:19" s="95" customFormat="1" x14ac:dyDescent="0.2">
      <c r="A4" s="116"/>
      <c r="B4" s="1414" t="s">
        <v>77</v>
      </c>
      <c r="C4" s="1414"/>
      <c r="D4" s="1414"/>
      <c r="E4" s="1414"/>
      <c r="F4" s="1414"/>
      <c r="G4" s="1414"/>
      <c r="H4" s="1414"/>
      <c r="I4" s="1414"/>
      <c r="J4" s="1414"/>
      <c r="K4" s="1414"/>
      <c r="L4" s="1414"/>
      <c r="M4" s="1414"/>
      <c r="N4" s="1414"/>
      <c r="O4" s="1414"/>
      <c r="P4" s="1414"/>
      <c r="Q4" s="1414"/>
      <c r="R4" s="1414"/>
      <c r="S4" s="1414"/>
    </row>
    <row r="5" spans="1:19" s="95" customFormat="1" x14ac:dyDescent="0.2">
      <c r="A5" s="116"/>
      <c r="B5" s="1551" t="s">
        <v>693</v>
      </c>
      <c r="C5" s="1551"/>
      <c r="D5" s="1551"/>
      <c r="E5" s="1551"/>
      <c r="F5" s="1551"/>
      <c r="G5" s="1551"/>
      <c r="H5" s="1551"/>
      <c r="I5" s="1551"/>
      <c r="J5" s="1551"/>
      <c r="K5" s="1551"/>
      <c r="L5" s="1551"/>
      <c r="M5" s="1551"/>
      <c r="N5" s="1551"/>
      <c r="O5" s="1551"/>
      <c r="P5" s="1551"/>
      <c r="Q5" s="1551"/>
      <c r="R5" s="1551"/>
      <c r="S5" s="1551"/>
    </row>
    <row r="6" spans="1:19" s="95" customFormat="1" ht="12.75" customHeight="1" x14ac:dyDescent="0.2">
      <c r="A6" s="116"/>
      <c r="B6" s="1659" t="s">
        <v>1166</v>
      </c>
      <c r="C6" s="1659"/>
      <c r="D6" s="1659"/>
      <c r="E6" s="1659"/>
      <c r="F6" s="1659"/>
      <c r="G6" s="1659"/>
      <c r="H6" s="1659"/>
      <c r="I6" s="1659"/>
      <c r="J6" s="1659"/>
      <c r="K6" s="1659"/>
      <c r="L6" s="1659"/>
      <c r="M6" s="1659"/>
      <c r="N6" s="1659"/>
      <c r="O6" s="1659"/>
      <c r="P6" s="1659"/>
      <c r="Q6" s="1659"/>
      <c r="R6" s="1659"/>
      <c r="S6" s="1659"/>
    </row>
    <row r="7" spans="1:19" s="95" customFormat="1" x14ac:dyDescent="0.2">
      <c r="A7" s="116"/>
      <c r="B7" s="1416" t="s">
        <v>303</v>
      </c>
      <c r="C7" s="1416"/>
      <c r="D7" s="1416"/>
      <c r="E7" s="1416"/>
      <c r="F7" s="1416"/>
      <c r="G7" s="1416"/>
      <c r="H7" s="1416"/>
      <c r="I7" s="1416"/>
      <c r="J7" s="1416"/>
      <c r="K7" s="1416"/>
      <c r="L7" s="1416"/>
      <c r="M7" s="1416"/>
      <c r="N7" s="1416"/>
      <c r="O7" s="1416"/>
      <c r="P7" s="1416"/>
      <c r="Q7" s="1416"/>
      <c r="R7" s="1416"/>
      <c r="S7" s="1416"/>
    </row>
    <row r="8" spans="1:19" s="95" customFormat="1" ht="12.75" customHeight="1" x14ac:dyDescent="0.2">
      <c r="A8" s="1410" t="s">
        <v>56</v>
      </c>
      <c r="B8" s="1411" t="s">
        <v>57</v>
      </c>
      <c r="C8" s="1411" t="s">
        <v>58</v>
      </c>
      <c r="D8" s="1411"/>
      <c r="E8" s="1411"/>
      <c r="F8" s="1411"/>
      <c r="G8" s="1411"/>
      <c r="H8" s="1411"/>
      <c r="I8" s="1411"/>
      <c r="J8" s="1411"/>
      <c r="K8" s="1412" t="s">
        <v>59</v>
      </c>
      <c r="L8" s="1657" t="s">
        <v>60</v>
      </c>
      <c r="M8" s="1657"/>
      <c r="N8" s="1657"/>
      <c r="O8" s="1657"/>
      <c r="P8" s="1657"/>
      <c r="Q8" s="1657"/>
      <c r="R8" s="1657"/>
      <c r="S8" s="1657"/>
    </row>
    <row r="9" spans="1:19" s="95" customFormat="1" ht="12.75" customHeight="1" x14ac:dyDescent="0.2">
      <c r="A9" s="1410"/>
      <c r="B9" s="1411"/>
      <c r="C9" s="1413" t="s">
        <v>1345</v>
      </c>
      <c r="D9" s="1413"/>
      <c r="E9" s="1413"/>
      <c r="F9" s="1413" t="s">
        <v>1337</v>
      </c>
      <c r="G9" s="1413"/>
      <c r="H9" s="1413" t="s">
        <v>1338</v>
      </c>
      <c r="I9" s="1413"/>
      <c r="J9" s="1413"/>
      <c r="K9" s="1412"/>
      <c r="L9" s="1658" t="s">
        <v>1345</v>
      </c>
      <c r="M9" s="1658"/>
      <c r="N9" s="1658"/>
      <c r="O9" s="1413" t="s">
        <v>1337</v>
      </c>
      <c r="P9" s="1413"/>
      <c r="Q9" s="1413" t="s">
        <v>1338</v>
      </c>
      <c r="R9" s="1413"/>
      <c r="S9" s="1413"/>
    </row>
    <row r="10" spans="1:19" s="96" customFormat="1" ht="36.6" customHeight="1" x14ac:dyDescent="0.2">
      <c r="A10" s="1410"/>
      <c r="B10" s="1351" t="s">
        <v>61</v>
      </c>
      <c r="C10" s="1306" t="s">
        <v>62</v>
      </c>
      <c r="D10" s="1306" t="s">
        <v>63</v>
      </c>
      <c r="E10" s="1306" t="s">
        <v>64</v>
      </c>
      <c r="F10" s="1306" t="s">
        <v>62</v>
      </c>
      <c r="G10" s="1306" t="s">
        <v>63</v>
      </c>
      <c r="H10" s="1306" t="s">
        <v>62</v>
      </c>
      <c r="I10" s="1306" t="s">
        <v>63</v>
      </c>
      <c r="J10" s="1306" t="s">
        <v>64</v>
      </c>
      <c r="K10" s="1352" t="s">
        <v>65</v>
      </c>
      <c r="L10" s="1306" t="s">
        <v>62</v>
      </c>
      <c r="M10" s="1405" t="s">
        <v>63</v>
      </c>
      <c r="N10" s="1405" t="s">
        <v>64</v>
      </c>
      <c r="O10" s="1306" t="s">
        <v>62</v>
      </c>
      <c r="P10" s="1306" t="s">
        <v>63</v>
      </c>
      <c r="Q10" s="1306" t="s">
        <v>62</v>
      </c>
      <c r="R10" s="1306" t="s">
        <v>63</v>
      </c>
      <c r="S10" s="1306" t="s">
        <v>64</v>
      </c>
    </row>
    <row r="11" spans="1:19" ht="11.45" customHeight="1" x14ac:dyDescent="0.2">
      <c r="A11" s="552">
        <v>1</v>
      </c>
      <c r="B11" s="1326" t="s">
        <v>24</v>
      </c>
      <c r="C11" s="121"/>
      <c r="D11" s="121"/>
      <c r="E11" s="1360"/>
      <c r="F11" s="121"/>
      <c r="G11" s="1360"/>
      <c r="H11" s="121"/>
      <c r="I11" s="121"/>
      <c r="J11" s="1360"/>
      <c r="K11" s="1337" t="s">
        <v>25</v>
      </c>
      <c r="L11" s="121"/>
      <c r="M11" s="1336"/>
      <c r="N11" s="1406"/>
      <c r="O11" s="199"/>
      <c r="P11" s="1388"/>
      <c r="Q11" s="199"/>
      <c r="R11" s="199"/>
      <c r="S11" s="1368"/>
    </row>
    <row r="12" spans="1:19" x14ac:dyDescent="0.2">
      <c r="A12" s="552">
        <f t="shared" ref="A12:A54" si="0">A11+1</f>
        <v>2</v>
      </c>
      <c r="B12" s="118" t="s">
        <v>35</v>
      </c>
      <c r="C12" s="92"/>
      <c r="D12" s="92"/>
      <c r="E12" s="328"/>
      <c r="F12" s="92"/>
      <c r="G12" s="328"/>
      <c r="H12" s="92"/>
      <c r="I12" s="92"/>
      <c r="J12" s="328"/>
      <c r="K12" s="92" t="s">
        <v>216</v>
      </c>
      <c r="L12" s="193">
        <v>47602</v>
      </c>
      <c r="M12" s="193">
        <v>42920</v>
      </c>
      <c r="N12" s="1355">
        <f>SUM(L12:M12)</f>
        <v>90522</v>
      </c>
      <c r="O12" s="200"/>
      <c r="P12" s="1361"/>
      <c r="Q12" s="200">
        <f>L12+O12</f>
        <v>47602</v>
      </c>
      <c r="R12" s="200">
        <f>M12+P12</f>
        <v>42920</v>
      </c>
      <c r="S12" s="1361">
        <f>Q12+R12</f>
        <v>90522</v>
      </c>
    </row>
    <row r="13" spans="1:19" x14ac:dyDescent="0.2">
      <c r="A13" s="552">
        <f t="shared" si="0"/>
        <v>3</v>
      </c>
      <c r="B13" s="118" t="s">
        <v>36</v>
      </c>
      <c r="C13" s="92"/>
      <c r="D13" s="92"/>
      <c r="E13" s="328"/>
      <c r="F13" s="92"/>
      <c r="G13" s="328"/>
      <c r="H13" s="92"/>
      <c r="I13" s="92"/>
      <c r="J13" s="328"/>
      <c r="K13" s="92" t="s">
        <v>217</v>
      </c>
      <c r="L13" s="193">
        <v>7106</v>
      </c>
      <c r="M13" s="193">
        <v>10149</v>
      </c>
      <c r="N13" s="1355">
        <f>SUM(L13:M13)</f>
        <v>17255</v>
      </c>
      <c r="O13" s="200"/>
      <c r="P13" s="1361"/>
      <c r="Q13" s="200">
        <f t="shared" ref="Q13:Q34" si="1">L13+O13</f>
        <v>7106</v>
      </c>
      <c r="R13" s="200">
        <f t="shared" ref="R13:R34" si="2">M13+P13</f>
        <v>10149</v>
      </c>
      <c r="S13" s="1361">
        <f t="shared" ref="S13:S34" si="3">Q13+R13</f>
        <v>17255</v>
      </c>
    </row>
    <row r="14" spans="1:19" x14ac:dyDescent="0.2">
      <c r="A14" s="552">
        <f t="shared" si="0"/>
        <v>4</v>
      </c>
      <c r="B14" s="118" t="s">
        <v>37</v>
      </c>
      <c r="C14" s="92">
        <v>0</v>
      </c>
      <c r="D14" s="92">
        <f>'tám, végl. pe.átv  '!D58</f>
        <v>0</v>
      </c>
      <c r="E14" s="328">
        <f t="shared" ref="E12:E18" si="4">SUM(C14:D14)</f>
        <v>0</v>
      </c>
      <c r="F14" s="92"/>
      <c r="G14" s="328"/>
      <c r="H14" s="92"/>
      <c r="I14" s="92"/>
      <c r="J14" s="328"/>
      <c r="K14" s="92" t="s">
        <v>218</v>
      </c>
      <c r="L14" s="193">
        <v>65005</v>
      </c>
      <c r="M14" s="193">
        <v>86942</v>
      </c>
      <c r="N14" s="1355">
        <f>SUM(L14:M14)</f>
        <v>151947</v>
      </c>
      <c r="O14" s="200">
        <v>5948</v>
      </c>
      <c r="P14" s="1361">
        <v>1910</v>
      </c>
      <c r="Q14" s="200">
        <f t="shared" si="1"/>
        <v>70953</v>
      </c>
      <c r="R14" s="200">
        <f t="shared" si="2"/>
        <v>88852</v>
      </c>
      <c r="S14" s="1361">
        <f t="shared" si="3"/>
        <v>159805</v>
      </c>
    </row>
    <row r="15" spans="1:19" ht="12" customHeight="1" x14ac:dyDescent="0.2">
      <c r="A15" s="552">
        <f t="shared" si="0"/>
        <v>5</v>
      </c>
      <c r="B15" s="1391"/>
      <c r="C15" s="92"/>
      <c r="D15" s="92"/>
      <c r="E15" s="328"/>
      <c r="F15" s="92"/>
      <c r="G15" s="328"/>
      <c r="H15" s="92"/>
      <c r="I15" s="92"/>
      <c r="J15" s="328"/>
      <c r="K15" s="92"/>
      <c r="L15" s="193"/>
      <c r="M15" s="193"/>
      <c r="N15" s="339"/>
      <c r="O15" s="200"/>
      <c r="P15" s="1361"/>
      <c r="Q15" s="200"/>
      <c r="R15" s="200"/>
      <c r="S15" s="1361"/>
    </row>
    <row r="16" spans="1:19" x14ac:dyDescent="0.2">
      <c r="A16" s="552">
        <f t="shared" si="0"/>
        <v>6</v>
      </c>
      <c r="B16" s="118" t="s">
        <v>38</v>
      </c>
      <c r="C16" s="92"/>
      <c r="D16" s="92"/>
      <c r="E16" s="328">
        <f t="shared" si="4"/>
        <v>0</v>
      </c>
      <c r="F16" s="92"/>
      <c r="G16" s="328"/>
      <c r="H16" s="92"/>
      <c r="I16" s="92"/>
      <c r="J16" s="328"/>
      <c r="K16" s="92" t="s">
        <v>28</v>
      </c>
      <c r="L16" s="119"/>
      <c r="M16" s="200"/>
      <c r="N16" s="1361"/>
      <c r="O16" s="200"/>
      <c r="P16" s="1361"/>
      <c r="Q16" s="200"/>
      <c r="R16" s="200"/>
      <c r="S16" s="1361"/>
    </row>
    <row r="17" spans="1:19" x14ac:dyDescent="0.2">
      <c r="A17" s="552">
        <f t="shared" si="0"/>
        <v>7</v>
      </c>
      <c r="B17" s="118"/>
      <c r="C17" s="92"/>
      <c r="D17" s="92"/>
      <c r="E17" s="328"/>
      <c r="F17" s="92"/>
      <c r="G17" s="328"/>
      <c r="H17" s="92"/>
      <c r="I17" s="92"/>
      <c r="J17" s="328"/>
      <c r="K17" s="92" t="s">
        <v>30</v>
      </c>
      <c r="L17" s="119"/>
      <c r="M17" s="200"/>
      <c r="N17" s="1361"/>
      <c r="O17" s="200"/>
      <c r="P17" s="1361"/>
      <c r="Q17" s="200"/>
      <c r="R17" s="200"/>
      <c r="S17" s="1361"/>
    </row>
    <row r="18" spans="1:19" x14ac:dyDescent="0.2">
      <c r="A18" s="552">
        <f t="shared" si="0"/>
        <v>8</v>
      </c>
      <c r="B18" s="118" t="s">
        <v>39</v>
      </c>
      <c r="C18" s="92"/>
      <c r="D18" s="92"/>
      <c r="E18" s="328">
        <f t="shared" si="4"/>
        <v>0</v>
      </c>
      <c r="F18" s="92"/>
      <c r="G18" s="328"/>
      <c r="H18" s="92"/>
      <c r="I18" s="92"/>
      <c r="J18" s="328"/>
      <c r="K18" s="92" t="s">
        <v>447</v>
      </c>
      <c r="L18" s="119"/>
      <c r="M18" s="200"/>
      <c r="N18" s="1361"/>
      <c r="O18" s="200"/>
      <c r="P18" s="1361"/>
      <c r="Q18" s="200"/>
      <c r="R18" s="200"/>
      <c r="S18" s="1361"/>
    </row>
    <row r="19" spans="1:19" x14ac:dyDescent="0.2">
      <c r="A19" s="552">
        <f t="shared" si="0"/>
        <v>9</v>
      </c>
      <c r="B19" s="120" t="s">
        <v>40</v>
      </c>
      <c r="C19" s="1390"/>
      <c r="D19" s="1390"/>
      <c r="E19" s="1396"/>
      <c r="F19" s="1390"/>
      <c r="G19" s="1396"/>
      <c r="H19" s="1390"/>
      <c r="I19" s="1390"/>
      <c r="J19" s="1396"/>
      <c r="K19" s="92" t="s">
        <v>446</v>
      </c>
      <c r="L19" s="119"/>
      <c r="M19" s="200"/>
      <c r="N19" s="1361"/>
      <c r="O19" s="200"/>
      <c r="P19" s="1361"/>
      <c r="Q19" s="200"/>
      <c r="R19" s="200"/>
      <c r="S19" s="1361"/>
    </row>
    <row r="20" spans="1:19" x14ac:dyDescent="0.2">
      <c r="A20" s="552">
        <f t="shared" si="0"/>
        <v>10</v>
      </c>
      <c r="B20" s="118" t="s">
        <v>195</v>
      </c>
      <c r="C20" s="1329">
        <v>70500</v>
      </c>
      <c r="D20" s="1329">
        <v>32000</v>
      </c>
      <c r="E20" s="1396">
        <f>SUM(C20:D20)</f>
        <v>102500</v>
      </c>
      <c r="F20" s="1390"/>
      <c r="G20" s="1396">
        <v>1707</v>
      </c>
      <c r="H20" s="1390">
        <f>C20+F20</f>
        <v>70500</v>
      </c>
      <c r="I20" s="1390">
        <f>D20+G20</f>
        <v>33707</v>
      </c>
      <c r="J20" s="1396">
        <f>H20+I20</f>
        <v>104207</v>
      </c>
      <c r="K20" s="92" t="s">
        <v>930</v>
      </c>
      <c r="L20" s="119"/>
      <c r="M20" s="200"/>
      <c r="N20" s="1361">
        <f>L20+M20</f>
        <v>0</v>
      </c>
      <c r="O20" s="200"/>
      <c r="P20" s="1361"/>
      <c r="Q20" s="200"/>
      <c r="R20" s="200"/>
      <c r="S20" s="1361"/>
    </row>
    <row r="21" spans="1:19" x14ac:dyDescent="0.2">
      <c r="A21" s="552">
        <f t="shared" si="0"/>
        <v>11</v>
      </c>
      <c r="B21" s="1330"/>
      <c r="C21" s="1390"/>
      <c r="D21" s="1390"/>
      <c r="E21" s="1396"/>
      <c r="F21" s="1390"/>
      <c r="G21" s="1396"/>
      <c r="H21" s="1390"/>
      <c r="I21" s="1390"/>
      <c r="J21" s="1396"/>
      <c r="K21" s="92" t="s">
        <v>439</v>
      </c>
      <c r="L21" s="119"/>
      <c r="M21" s="200"/>
      <c r="N21" s="1361"/>
      <c r="O21" s="200"/>
      <c r="P21" s="1361"/>
      <c r="Q21" s="200"/>
      <c r="R21" s="200"/>
      <c r="S21" s="1361"/>
    </row>
    <row r="22" spans="1:19" s="97" customFormat="1" x14ac:dyDescent="0.2">
      <c r="A22" s="552">
        <f t="shared" si="0"/>
        <v>12</v>
      </c>
      <c r="B22" s="1330" t="s">
        <v>42</v>
      </c>
      <c r="C22" s="1390"/>
      <c r="D22" s="1390"/>
      <c r="E22" s="1396"/>
      <c r="F22" s="1390"/>
      <c r="G22" s="1396"/>
      <c r="H22" s="1390"/>
      <c r="I22" s="1390"/>
      <c r="J22" s="1396"/>
      <c r="K22" s="92" t="s">
        <v>440</v>
      </c>
      <c r="L22" s="119"/>
      <c r="M22" s="200"/>
      <c r="N22" s="1361"/>
      <c r="O22" s="1393"/>
      <c r="P22" s="1398"/>
      <c r="Q22" s="200"/>
      <c r="R22" s="200"/>
      <c r="S22" s="1361"/>
    </row>
    <row r="23" spans="1:19" s="97" customFormat="1" x14ac:dyDescent="0.2">
      <c r="A23" s="552">
        <f t="shared" si="0"/>
        <v>13</v>
      </c>
      <c r="B23" s="1330" t="s">
        <v>43</v>
      </c>
      <c r="C23" s="1390"/>
      <c r="D23" s="1390"/>
      <c r="E23" s="1396"/>
      <c r="F23" s="1390"/>
      <c r="G23" s="1396"/>
      <c r="H23" s="1390"/>
      <c r="I23" s="1390"/>
      <c r="J23" s="1396"/>
      <c r="K23" s="119"/>
      <c r="L23" s="119"/>
      <c r="M23" s="200"/>
      <c r="N23" s="1361"/>
      <c r="O23" s="1393"/>
      <c r="P23" s="1398"/>
      <c r="Q23" s="200"/>
      <c r="R23" s="200"/>
      <c r="S23" s="1361"/>
    </row>
    <row r="24" spans="1:19" x14ac:dyDescent="0.2">
      <c r="A24" s="552">
        <f t="shared" si="0"/>
        <v>14</v>
      </c>
      <c r="B24" s="118" t="s">
        <v>44</v>
      </c>
      <c r="C24" s="1392"/>
      <c r="D24" s="1392"/>
      <c r="E24" s="1397"/>
      <c r="F24" s="1392"/>
      <c r="G24" s="1397"/>
      <c r="H24" s="1390"/>
      <c r="I24" s="1390"/>
      <c r="J24" s="1396"/>
      <c r="K24" s="1374" t="s">
        <v>66</v>
      </c>
      <c r="L24" s="1374">
        <f>SUM(L12:L22)</f>
        <v>119713</v>
      </c>
      <c r="M24" s="1349">
        <f>SUM(M12:M22)</f>
        <v>140011</v>
      </c>
      <c r="N24" s="1362">
        <f>SUM(N12:N22)</f>
        <v>259724</v>
      </c>
      <c r="O24" s="200">
        <f>SUM(O12:O23)</f>
        <v>5948</v>
      </c>
      <c r="P24" s="1361">
        <f>SUM(P12:P23)</f>
        <v>1910</v>
      </c>
      <c r="Q24" s="200">
        <f t="shared" si="1"/>
        <v>125661</v>
      </c>
      <c r="R24" s="200">
        <f t="shared" si="2"/>
        <v>141921</v>
      </c>
      <c r="S24" s="1361">
        <f t="shared" si="3"/>
        <v>267582</v>
      </c>
    </row>
    <row r="25" spans="1:19" x14ac:dyDescent="0.2">
      <c r="A25" s="552">
        <f t="shared" si="0"/>
        <v>15</v>
      </c>
      <c r="B25" s="118" t="s">
        <v>45</v>
      </c>
      <c r="C25" s="1390"/>
      <c r="D25" s="1390"/>
      <c r="E25" s="1396"/>
      <c r="F25" s="1390"/>
      <c r="G25" s="1396"/>
      <c r="H25" s="1390"/>
      <c r="I25" s="1390"/>
      <c r="J25" s="1396"/>
      <c r="K25" s="119"/>
      <c r="L25" s="119"/>
      <c r="M25" s="200"/>
      <c r="N25" s="1361"/>
      <c r="O25" s="200"/>
      <c r="P25" s="1361"/>
      <c r="Q25" s="200"/>
      <c r="R25" s="200"/>
      <c r="S25" s="1361"/>
    </row>
    <row r="26" spans="1:19" x14ac:dyDescent="0.2">
      <c r="A26" s="552">
        <f t="shared" si="0"/>
        <v>16</v>
      </c>
      <c r="B26" s="118" t="s">
        <v>46</v>
      </c>
      <c r="C26" s="1337"/>
      <c r="D26" s="1337"/>
      <c r="E26" s="360"/>
      <c r="F26" s="1337"/>
      <c r="G26" s="360"/>
      <c r="H26" s="1390"/>
      <c r="I26" s="1390"/>
      <c r="J26" s="1396"/>
      <c r="K26" s="1337" t="s">
        <v>34</v>
      </c>
      <c r="L26" s="121"/>
      <c r="M26" s="1336"/>
      <c r="N26" s="1361"/>
      <c r="O26" s="200"/>
      <c r="P26" s="1361"/>
      <c r="Q26" s="200"/>
      <c r="R26" s="200"/>
      <c r="S26" s="1361"/>
    </row>
    <row r="27" spans="1:19" x14ac:dyDescent="0.2">
      <c r="A27" s="552">
        <f t="shared" si="0"/>
        <v>17</v>
      </c>
      <c r="B27" s="118" t="s">
        <v>47</v>
      </c>
      <c r="C27" s="92"/>
      <c r="D27" s="92"/>
      <c r="E27" s="328"/>
      <c r="F27" s="92"/>
      <c r="G27" s="328"/>
      <c r="H27" s="1390"/>
      <c r="I27" s="1390"/>
      <c r="J27" s="1396"/>
      <c r="K27" s="92" t="s">
        <v>274</v>
      </c>
      <c r="L27" s="119">
        <f>'felhalm. kiad.  '!M117</f>
        <v>2500</v>
      </c>
      <c r="M27" s="119">
        <f>'felhalm. kiad.  '!P117</f>
        <v>2500</v>
      </c>
      <c r="N27" s="327">
        <f>'felhalm. kiad.  '!J117</f>
        <v>5000</v>
      </c>
      <c r="O27" s="200"/>
      <c r="P27" s="1361"/>
      <c r="Q27" s="200">
        <f t="shared" si="1"/>
        <v>2500</v>
      </c>
      <c r="R27" s="200">
        <f t="shared" si="2"/>
        <v>2500</v>
      </c>
      <c r="S27" s="1361">
        <f t="shared" si="3"/>
        <v>5000</v>
      </c>
    </row>
    <row r="28" spans="1:19" x14ac:dyDescent="0.2">
      <c r="A28" s="552">
        <f t="shared" si="0"/>
        <v>18</v>
      </c>
      <c r="B28" s="118"/>
      <c r="C28" s="92"/>
      <c r="D28" s="92"/>
      <c r="E28" s="328"/>
      <c r="F28" s="92"/>
      <c r="G28" s="328"/>
      <c r="H28" s="1390"/>
      <c r="I28" s="1390"/>
      <c r="J28" s="1396"/>
      <c r="K28" s="92" t="s">
        <v>31</v>
      </c>
      <c r="L28" s="119"/>
      <c r="M28" s="200"/>
      <c r="N28" s="1361"/>
      <c r="O28" s="200"/>
      <c r="P28" s="1361"/>
      <c r="Q28" s="200"/>
      <c r="R28" s="200"/>
      <c r="S28" s="1361"/>
    </row>
    <row r="29" spans="1:19" x14ac:dyDescent="0.2">
      <c r="A29" s="552">
        <f t="shared" si="0"/>
        <v>19</v>
      </c>
      <c r="B29" s="1330" t="s">
        <v>50</v>
      </c>
      <c r="C29" s="92">
        <f>'tám, végl. pe.átv  '!C61</f>
        <v>0</v>
      </c>
      <c r="D29" s="92">
        <f>'tám, végl. pe.átv  '!D61</f>
        <v>0</v>
      </c>
      <c r="E29" s="328">
        <f>'tám, végl. pe.átv  '!E61</f>
        <v>0</v>
      </c>
      <c r="F29" s="92"/>
      <c r="G29" s="328">
        <v>203</v>
      </c>
      <c r="H29" s="1390">
        <f t="shared" ref="H21:H43" si="5">C29+F29</f>
        <v>0</v>
      </c>
      <c r="I29" s="1390">
        <f t="shared" ref="I21:I43" si="6">D29+G29</f>
        <v>203</v>
      </c>
      <c r="J29" s="1396">
        <f t="shared" ref="J21:J43" si="7">H29+I29</f>
        <v>203</v>
      </c>
      <c r="K29" s="92" t="s">
        <v>32</v>
      </c>
      <c r="L29" s="119"/>
      <c r="M29" s="200"/>
      <c r="N29" s="1361"/>
      <c r="O29" s="200"/>
      <c r="P29" s="1361"/>
      <c r="Q29" s="200"/>
      <c r="R29" s="200"/>
      <c r="S29" s="1361"/>
    </row>
    <row r="30" spans="1:19" s="97" customFormat="1" x14ac:dyDescent="0.2">
      <c r="A30" s="552">
        <f t="shared" si="0"/>
        <v>20</v>
      </c>
      <c r="B30" s="1330" t="s">
        <v>48</v>
      </c>
      <c r="C30" s="92"/>
      <c r="D30" s="92"/>
      <c r="E30" s="328"/>
      <c r="F30" s="92"/>
      <c r="G30" s="328"/>
      <c r="H30" s="1390"/>
      <c r="I30" s="1390"/>
      <c r="J30" s="1396"/>
      <c r="K30" s="92" t="s">
        <v>448</v>
      </c>
      <c r="L30" s="119"/>
      <c r="M30" s="200"/>
      <c r="N30" s="1361"/>
      <c r="O30" s="200"/>
      <c r="P30" s="1361"/>
      <c r="Q30" s="200"/>
      <c r="R30" s="200"/>
      <c r="S30" s="1361"/>
    </row>
    <row r="31" spans="1:19" x14ac:dyDescent="0.2">
      <c r="A31" s="552">
        <f t="shared" si="0"/>
        <v>21</v>
      </c>
      <c r="B31" s="1330"/>
      <c r="C31" s="92"/>
      <c r="D31" s="92"/>
      <c r="E31" s="328"/>
      <c r="F31" s="92"/>
      <c r="G31" s="328"/>
      <c r="H31" s="1390"/>
      <c r="I31" s="1390"/>
      <c r="J31" s="1396"/>
      <c r="K31" s="92" t="s">
        <v>445</v>
      </c>
      <c r="L31" s="119"/>
      <c r="M31" s="200"/>
      <c r="N31" s="1361"/>
      <c r="O31" s="200"/>
      <c r="P31" s="1361"/>
      <c r="Q31" s="200"/>
      <c r="R31" s="200"/>
      <c r="S31" s="1361"/>
    </row>
    <row r="32" spans="1:19" s="10" customFormat="1" x14ac:dyDescent="0.2">
      <c r="A32" s="552">
        <f t="shared" si="0"/>
        <v>22</v>
      </c>
      <c r="B32" s="1333" t="s">
        <v>52</v>
      </c>
      <c r="C32" s="1723">
        <f>C14+C20</f>
        <v>70500</v>
      </c>
      <c r="D32" s="1723">
        <f>D14+D20+D29</f>
        <v>32000</v>
      </c>
      <c r="E32" s="1724">
        <f>E14+E20+E29</f>
        <v>102500</v>
      </c>
      <c r="F32" s="1723">
        <v>0</v>
      </c>
      <c r="G32" s="1724">
        <f>SUM(G20:G31)</f>
        <v>1910</v>
      </c>
      <c r="H32" s="1723">
        <f t="shared" si="5"/>
        <v>70500</v>
      </c>
      <c r="I32" s="1723">
        <f t="shared" si="6"/>
        <v>33910</v>
      </c>
      <c r="J32" s="1724">
        <f t="shared" si="7"/>
        <v>104410</v>
      </c>
      <c r="K32" s="92" t="s">
        <v>441</v>
      </c>
      <c r="L32" s="119"/>
      <c r="M32" s="200"/>
      <c r="N32" s="1361"/>
      <c r="O32" s="200"/>
      <c r="P32" s="1361"/>
      <c r="Q32" s="200"/>
      <c r="R32" s="200"/>
      <c r="S32" s="1361"/>
    </row>
    <row r="33" spans="1:19" x14ac:dyDescent="0.2">
      <c r="A33" s="552">
        <f t="shared" si="0"/>
        <v>23</v>
      </c>
      <c r="B33" s="1376" t="s">
        <v>67</v>
      </c>
      <c r="C33" s="1394"/>
      <c r="D33" s="1394"/>
      <c r="E33" s="1401"/>
      <c r="F33" s="1394"/>
      <c r="G33" s="1401"/>
      <c r="H33" s="1390">
        <f t="shared" si="5"/>
        <v>0</v>
      </c>
      <c r="I33" s="1390">
        <f t="shared" si="6"/>
        <v>0</v>
      </c>
      <c r="J33" s="1396">
        <f t="shared" si="7"/>
        <v>0</v>
      </c>
      <c r="K33" s="1392" t="s">
        <v>68</v>
      </c>
      <c r="L33" s="1394">
        <f>SUM(L27:L32)</f>
        <v>2500</v>
      </c>
      <c r="M33" s="1393">
        <f>SUM(M27:M32)</f>
        <v>2500</v>
      </c>
      <c r="N33" s="1398">
        <f>SUM(N27:N31)</f>
        <v>5000</v>
      </c>
      <c r="O33" s="1393"/>
      <c r="P33" s="1398"/>
      <c r="Q33" s="1393">
        <f t="shared" si="1"/>
        <v>2500</v>
      </c>
      <c r="R33" s="1393">
        <f t="shared" si="2"/>
        <v>2500</v>
      </c>
      <c r="S33" s="1398">
        <f t="shared" si="3"/>
        <v>5000</v>
      </c>
    </row>
    <row r="34" spans="1:19" x14ac:dyDescent="0.2">
      <c r="A34" s="552">
        <f t="shared" si="0"/>
        <v>24</v>
      </c>
      <c r="B34" s="123" t="s">
        <v>51</v>
      </c>
      <c r="C34" s="121">
        <f>SUM(C32:C33)</f>
        <v>70500</v>
      </c>
      <c r="D34" s="121">
        <f>SUM(D32:D33)</f>
        <v>32000</v>
      </c>
      <c r="E34" s="1354">
        <f>SUM(C34:D34)</f>
        <v>102500</v>
      </c>
      <c r="F34" s="121">
        <f>F32+F33</f>
        <v>0</v>
      </c>
      <c r="G34" s="121">
        <f>G32+G33</f>
        <v>1910</v>
      </c>
      <c r="H34" s="1732">
        <f t="shared" si="5"/>
        <v>70500</v>
      </c>
      <c r="I34" s="1728">
        <f t="shared" si="6"/>
        <v>33910</v>
      </c>
      <c r="J34" s="1729">
        <f t="shared" si="7"/>
        <v>104410</v>
      </c>
      <c r="K34" s="121" t="s">
        <v>69</v>
      </c>
      <c r="L34" s="121">
        <f>L24+L33</f>
        <v>122213</v>
      </c>
      <c r="M34" s="1336">
        <f>M24+M33</f>
        <v>142511</v>
      </c>
      <c r="N34" s="1356">
        <f>N24+N33</f>
        <v>264724</v>
      </c>
      <c r="O34" s="1336">
        <f>O33+O24</f>
        <v>5948</v>
      </c>
      <c r="P34" s="1336">
        <f t="shared" ref="P34:S34" si="8">P33+P24</f>
        <v>1910</v>
      </c>
      <c r="Q34" s="1712">
        <f t="shared" si="8"/>
        <v>128161</v>
      </c>
      <c r="R34" s="1336">
        <f t="shared" si="8"/>
        <v>144421</v>
      </c>
      <c r="S34" s="1356">
        <f t="shared" si="8"/>
        <v>272582</v>
      </c>
    </row>
    <row r="35" spans="1:19" x14ac:dyDescent="0.2">
      <c r="A35" s="552">
        <f t="shared" si="0"/>
        <v>25</v>
      </c>
      <c r="B35" s="1330"/>
      <c r="C35" s="119"/>
      <c r="D35" s="119"/>
      <c r="E35" s="327"/>
      <c r="F35" s="119"/>
      <c r="G35" s="327"/>
      <c r="H35" s="1390"/>
      <c r="I35" s="1390"/>
      <c r="J35" s="1396"/>
      <c r="K35" s="119"/>
      <c r="L35" s="119"/>
      <c r="M35" s="200"/>
      <c r="N35" s="1361"/>
      <c r="O35" s="200"/>
      <c r="P35" s="1361"/>
      <c r="Q35" s="199"/>
      <c r="R35" s="199"/>
      <c r="S35" s="1368"/>
    </row>
    <row r="36" spans="1:19" x14ac:dyDescent="0.2">
      <c r="A36" s="552">
        <f t="shared" si="0"/>
        <v>26</v>
      </c>
      <c r="B36" s="1330"/>
      <c r="C36" s="119"/>
      <c r="D36" s="119"/>
      <c r="E36" s="327"/>
      <c r="F36" s="119"/>
      <c r="G36" s="327"/>
      <c r="H36" s="1390"/>
      <c r="I36" s="1390"/>
      <c r="J36" s="1396"/>
      <c r="K36" s="1374"/>
      <c r="L36" s="1374"/>
      <c r="M36" s="1349"/>
      <c r="N36" s="1362"/>
      <c r="O36" s="200"/>
      <c r="P36" s="1361"/>
      <c r="Q36" s="199"/>
      <c r="R36" s="199"/>
      <c r="S36" s="1368"/>
    </row>
    <row r="37" spans="1:19" s="10" customFormat="1" x14ac:dyDescent="0.2">
      <c r="A37" s="552">
        <f t="shared" si="0"/>
        <v>27</v>
      </c>
      <c r="B37" s="1330"/>
      <c r="C37" s="119"/>
      <c r="D37" s="119"/>
      <c r="E37" s="327"/>
      <c r="F37" s="119"/>
      <c r="G37" s="327"/>
      <c r="H37" s="1390"/>
      <c r="I37" s="1390"/>
      <c r="J37" s="1396"/>
      <c r="K37" s="119"/>
      <c r="L37" s="119"/>
      <c r="M37" s="200"/>
      <c r="N37" s="1361"/>
      <c r="O37" s="1336"/>
      <c r="P37" s="1356"/>
      <c r="Q37" s="1350"/>
      <c r="R37" s="1350"/>
      <c r="S37" s="1363"/>
    </row>
    <row r="38" spans="1:19" s="10" customFormat="1" x14ac:dyDescent="0.2">
      <c r="A38" s="552">
        <f t="shared" si="0"/>
        <v>28</v>
      </c>
      <c r="B38" s="1337" t="s">
        <v>53</v>
      </c>
      <c r="C38" s="1337"/>
      <c r="D38" s="1337"/>
      <c r="E38" s="360"/>
      <c r="F38" s="1337"/>
      <c r="G38" s="360"/>
      <c r="H38" s="1390"/>
      <c r="I38" s="1390"/>
      <c r="J38" s="1396"/>
      <c r="K38" s="1337" t="s">
        <v>33</v>
      </c>
      <c r="L38" s="121"/>
      <c r="M38" s="1336"/>
      <c r="N38" s="1356"/>
      <c r="O38" s="1336"/>
      <c r="P38" s="1356"/>
      <c r="Q38" s="1350"/>
      <c r="R38" s="1350"/>
      <c r="S38" s="1363"/>
    </row>
    <row r="39" spans="1:19" s="10" customFormat="1" ht="12" customHeight="1" x14ac:dyDescent="0.2">
      <c r="A39" s="552">
        <f t="shared" si="0"/>
        <v>29</v>
      </c>
      <c r="B39" s="1338" t="s">
        <v>685</v>
      </c>
      <c r="C39" s="1337"/>
      <c r="D39" s="1337"/>
      <c r="E39" s="360"/>
      <c r="F39" s="1337"/>
      <c r="G39" s="360"/>
      <c r="H39" s="1390"/>
      <c r="I39" s="1390"/>
      <c r="J39" s="1396"/>
      <c r="K39" s="1338" t="s">
        <v>4</v>
      </c>
      <c r="L39" s="121"/>
      <c r="M39" s="1350"/>
      <c r="N39" s="1363"/>
      <c r="O39" s="1336"/>
      <c r="P39" s="1356"/>
      <c r="Q39" s="1350"/>
      <c r="R39" s="1350"/>
      <c r="S39" s="1363"/>
    </row>
    <row r="40" spans="1:19" s="10" customFormat="1" x14ac:dyDescent="0.2">
      <c r="A40" s="552">
        <f t="shared" si="0"/>
        <v>30</v>
      </c>
      <c r="B40" s="1330" t="s">
        <v>965</v>
      </c>
      <c r="C40" s="1337"/>
      <c r="D40" s="1337"/>
      <c r="E40" s="360"/>
      <c r="F40" s="1337"/>
      <c r="G40" s="360"/>
      <c r="H40" s="1390"/>
      <c r="I40" s="1390"/>
      <c r="J40" s="1396"/>
      <c r="K40" s="118" t="s">
        <v>3</v>
      </c>
      <c r="L40" s="121"/>
      <c r="M40" s="1336"/>
      <c r="N40" s="1356"/>
      <c r="O40" s="1336"/>
      <c r="P40" s="1356"/>
      <c r="Q40" s="1350"/>
      <c r="R40" s="1350"/>
      <c r="S40" s="1363"/>
    </row>
    <row r="41" spans="1:19" x14ac:dyDescent="0.2">
      <c r="A41" s="552">
        <f t="shared" si="0"/>
        <v>31</v>
      </c>
      <c r="B41" s="92" t="s">
        <v>687</v>
      </c>
      <c r="C41" s="1395"/>
      <c r="D41" s="1395"/>
      <c r="E41" s="1399"/>
      <c r="F41" s="1395"/>
      <c r="G41" s="1399"/>
      <c r="H41" s="1390"/>
      <c r="I41" s="1390"/>
      <c r="J41" s="1396"/>
      <c r="K41" s="92" t="s">
        <v>5</v>
      </c>
      <c r="L41" s="121"/>
      <c r="M41" s="1336"/>
      <c r="N41" s="1356"/>
      <c r="O41" s="200"/>
      <c r="P41" s="1361"/>
      <c r="Q41" s="199"/>
      <c r="R41" s="199"/>
      <c r="S41" s="1368"/>
    </row>
    <row r="42" spans="1:19" x14ac:dyDescent="0.2">
      <c r="A42" s="552">
        <f t="shared" si="0"/>
        <v>32</v>
      </c>
      <c r="B42" s="92" t="s">
        <v>208</v>
      </c>
      <c r="C42" s="92"/>
      <c r="D42" s="92"/>
      <c r="E42" s="328"/>
      <c r="F42" s="92"/>
      <c r="G42" s="328"/>
      <c r="H42" s="1390"/>
      <c r="I42" s="1390"/>
      <c r="J42" s="1396"/>
      <c r="K42" s="92" t="s">
        <v>6</v>
      </c>
      <c r="L42" s="121"/>
      <c r="M42" s="1336"/>
      <c r="N42" s="1356"/>
      <c r="O42" s="200"/>
      <c r="P42" s="1361"/>
      <c r="Q42" s="199"/>
      <c r="R42" s="199"/>
      <c r="S42" s="1368"/>
    </row>
    <row r="43" spans="1:19" x14ac:dyDescent="0.2">
      <c r="A43" s="552">
        <f t="shared" si="0"/>
        <v>33</v>
      </c>
      <c r="B43" s="1345" t="s">
        <v>209</v>
      </c>
      <c r="C43" s="92">
        <v>0</v>
      </c>
      <c r="D43" s="92"/>
      <c r="E43" s="328">
        <f>C43+D43</f>
        <v>0</v>
      </c>
      <c r="F43" s="92">
        <v>3148</v>
      </c>
      <c r="G43" s="328"/>
      <c r="H43" s="1390">
        <f t="shared" si="5"/>
        <v>3148</v>
      </c>
      <c r="I43" s="1390">
        <f t="shared" si="6"/>
        <v>0</v>
      </c>
      <c r="J43" s="1396">
        <f t="shared" si="7"/>
        <v>3148</v>
      </c>
      <c r="K43" s="92" t="s">
        <v>7</v>
      </c>
      <c r="L43" s="121"/>
      <c r="M43" s="1336"/>
      <c r="N43" s="1356"/>
      <c r="O43" s="200"/>
      <c r="P43" s="1361"/>
      <c r="Q43" s="199"/>
      <c r="R43" s="199"/>
      <c r="S43" s="1368"/>
    </row>
    <row r="44" spans="1:19" x14ac:dyDescent="0.2">
      <c r="A44" s="552">
        <f t="shared" si="0"/>
        <v>34</v>
      </c>
      <c r="B44" s="1345" t="s">
        <v>961</v>
      </c>
      <c r="C44" s="92"/>
      <c r="D44" s="92"/>
      <c r="E44" s="328">
        <f>C44+D44</f>
        <v>0</v>
      </c>
      <c r="F44" s="92"/>
      <c r="G44" s="328"/>
      <c r="H44" s="92"/>
      <c r="I44" s="92"/>
      <c r="J44" s="328"/>
      <c r="K44" s="92"/>
      <c r="L44" s="121"/>
      <c r="M44" s="1336"/>
      <c r="N44" s="1356"/>
      <c r="O44" s="200"/>
      <c r="P44" s="1361"/>
      <c r="Q44" s="199"/>
      <c r="R44" s="199"/>
      <c r="S44" s="1368"/>
    </row>
    <row r="45" spans="1:19" x14ac:dyDescent="0.2">
      <c r="A45" s="552">
        <f t="shared" si="0"/>
        <v>35</v>
      </c>
      <c r="B45" s="92" t="s">
        <v>688</v>
      </c>
      <c r="C45" s="92"/>
      <c r="D45" s="92"/>
      <c r="E45" s="328"/>
      <c r="F45" s="92"/>
      <c r="G45" s="328"/>
      <c r="H45" s="92"/>
      <c r="I45" s="92"/>
      <c r="J45" s="328"/>
      <c r="K45" s="92" t="s">
        <v>8</v>
      </c>
      <c r="L45" s="121"/>
      <c r="M45" s="1336"/>
      <c r="N45" s="1361"/>
      <c r="O45" s="200"/>
      <c r="P45" s="1361"/>
      <c r="Q45" s="199"/>
      <c r="R45" s="199"/>
      <c r="S45" s="1368"/>
    </row>
    <row r="46" spans="1:19" x14ac:dyDescent="0.2">
      <c r="A46" s="552">
        <f t="shared" si="0"/>
        <v>36</v>
      </c>
      <c r="B46" s="92" t="s">
        <v>689</v>
      </c>
      <c r="C46" s="1337"/>
      <c r="D46" s="1337"/>
      <c r="E46" s="360"/>
      <c r="F46" s="1337"/>
      <c r="G46" s="360"/>
      <c r="H46" s="1337"/>
      <c r="I46" s="1337"/>
      <c r="J46" s="360"/>
      <c r="K46" s="92" t="s">
        <v>9</v>
      </c>
      <c r="L46" s="121"/>
      <c r="M46" s="1336"/>
      <c r="N46" s="1361"/>
      <c r="O46" s="200"/>
      <c r="P46" s="1361"/>
      <c r="Q46" s="199"/>
      <c r="R46" s="199"/>
      <c r="S46" s="1368"/>
    </row>
    <row r="47" spans="1:19" x14ac:dyDescent="0.2">
      <c r="A47" s="552">
        <f t="shared" si="0"/>
        <v>37</v>
      </c>
      <c r="B47" s="92" t="s">
        <v>212</v>
      </c>
      <c r="C47" s="92"/>
      <c r="D47" s="92"/>
      <c r="E47" s="328"/>
      <c r="F47" s="92"/>
      <c r="G47" s="328"/>
      <c r="H47" s="92"/>
      <c r="I47" s="92"/>
      <c r="J47" s="328"/>
      <c r="K47" s="92" t="s">
        <v>10</v>
      </c>
      <c r="L47" s="119"/>
      <c r="M47" s="200"/>
      <c r="N47" s="1361"/>
      <c r="O47" s="200"/>
      <c r="P47" s="1361"/>
      <c r="Q47" s="199"/>
      <c r="R47" s="199"/>
      <c r="S47" s="1368"/>
    </row>
    <row r="48" spans="1:19" x14ac:dyDescent="0.2">
      <c r="A48" s="552">
        <f t="shared" si="0"/>
        <v>38</v>
      </c>
      <c r="B48" s="1345" t="s">
        <v>213</v>
      </c>
      <c r="C48" s="92">
        <f>L24-(C34+C43+C44)</f>
        <v>49213</v>
      </c>
      <c r="D48" s="92">
        <f>M24-(D34+D43+D44)</f>
        <v>108011</v>
      </c>
      <c r="E48" s="328">
        <f>N24-(E34+E43+E44)</f>
        <v>157224</v>
      </c>
      <c r="F48" s="102">
        <f t="shared" ref="F48:J48" si="9">O24-(F34+F43+F44)</f>
        <v>2800</v>
      </c>
      <c r="G48" s="328">
        <f t="shared" si="9"/>
        <v>0</v>
      </c>
      <c r="H48" s="102">
        <f t="shared" si="9"/>
        <v>52013</v>
      </c>
      <c r="I48" s="92">
        <f t="shared" si="9"/>
        <v>108011</v>
      </c>
      <c r="J48" s="328">
        <f t="shared" si="9"/>
        <v>160024</v>
      </c>
      <c r="K48" s="92" t="s">
        <v>11</v>
      </c>
      <c r="L48" s="119"/>
      <c r="M48" s="200"/>
      <c r="N48" s="1361"/>
      <c r="O48" s="200"/>
      <c r="P48" s="1361"/>
      <c r="Q48" s="199"/>
      <c r="R48" s="199"/>
      <c r="S48" s="1368"/>
    </row>
    <row r="49" spans="1:19" x14ac:dyDescent="0.2">
      <c r="A49" s="552">
        <f t="shared" si="0"/>
        <v>39</v>
      </c>
      <c r="B49" s="1345" t="s">
        <v>214</v>
      </c>
      <c r="C49" s="92">
        <f>L33-C33</f>
        <v>2500</v>
      </c>
      <c r="D49" s="92">
        <f>M33-D33</f>
        <v>2500</v>
      </c>
      <c r="E49" s="328">
        <f>N33-E33</f>
        <v>5000</v>
      </c>
      <c r="F49" s="102">
        <f t="shared" ref="F49:J49" si="10">O33-F33</f>
        <v>0</v>
      </c>
      <c r="G49" s="328">
        <f t="shared" si="10"/>
        <v>0</v>
      </c>
      <c r="H49" s="102">
        <f t="shared" si="10"/>
        <v>2500</v>
      </c>
      <c r="I49" s="92">
        <f t="shared" si="10"/>
        <v>2500</v>
      </c>
      <c r="J49" s="328">
        <f t="shared" si="10"/>
        <v>5000</v>
      </c>
      <c r="K49" s="92" t="s">
        <v>12</v>
      </c>
      <c r="L49" s="119"/>
      <c r="M49" s="200"/>
      <c r="N49" s="1361"/>
      <c r="O49" s="200"/>
      <c r="P49" s="1361"/>
      <c r="Q49" s="199"/>
      <c r="R49" s="199"/>
      <c r="S49" s="1368"/>
    </row>
    <row r="50" spans="1:19" x14ac:dyDescent="0.2">
      <c r="A50" s="552">
        <f t="shared" si="0"/>
        <v>40</v>
      </c>
      <c r="B50" s="92" t="s">
        <v>1</v>
      </c>
      <c r="C50" s="92"/>
      <c r="D50" s="92"/>
      <c r="E50" s="328"/>
      <c r="F50" s="102"/>
      <c r="G50" s="328"/>
      <c r="H50" s="102"/>
      <c r="I50" s="92"/>
      <c r="J50" s="328"/>
      <c r="K50" s="92" t="s">
        <v>13</v>
      </c>
      <c r="L50" s="119"/>
      <c r="M50" s="200"/>
      <c r="N50" s="1361"/>
      <c r="O50" s="200"/>
      <c r="P50" s="1361"/>
      <c r="Q50" s="199"/>
      <c r="R50" s="199"/>
      <c r="S50" s="1368"/>
    </row>
    <row r="51" spans="1:19" x14ac:dyDescent="0.2">
      <c r="A51" s="552">
        <f t="shared" si="0"/>
        <v>41</v>
      </c>
      <c r="B51" s="92"/>
      <c r="C51" s="92"/>
      <c r="D51" s="92"/>
      <c r="E51" s="328"/>
      <c r="F51" s="92"/>
      <c r="G51" s="328"/>
      <c r="H51" s="92"/>
      <c r="I51" s="92"/>
      <c r="J51" s="328"/>
      <c r="K51" s="92" t="s">
        <v>14</v>
      </c>
      <c r="L51" s="119"/>
      <c r="M51" s="200"/>
      <c r="N51" s="1361"/>
      <c r="O51" s="200"/>
      <c r="P51" s="1361"/>
      <c r="Q51" s="199"/>
      <c r="R51" s="199"/>
      <c r="S51" s="1368"/>
    </row>
    <row r="52" spans="1:19" x14ac:dyDescent="0.2">
      <c r="A52" s="552">
        <f t="shared" si="0"/>
        <v>42</v>
      </c>
      <c r="B52" s="92"/>
      <c r="C52" s="92"/>
      <c r="D52" s="92"/>
      <c r="E52" s="328"/>
      <c r="F52" s="92"/>
      <c r="G52" s="328"/>
      <c r="H52" s="92"/>
      <c r="I52" s="92"/>
      <c r="J52" s="328"/>
      <c r="K52" s="92" t="s">
        <v>15</v>
      </c>
      <c r="L52" s="119"/>
      <c r="M52" s="200"/>
      <c r="N52" s="1361"/>
      <c r="O52" s="200"/>
      <c r="P52" s="1361"/>
      <c r="Q52" s="199"/>
      <c r="R52" s="199"/>
      <c r="S52" s="1368"/>
    </row>
    <row r="53" spans="1:19" ht="12" thickBot="1" x14ac:dyDescent="0.25">
      <c r="A53" s="552">
        <f t="shared" si="0"/>
        <v>43</v>
      </c>
      <c r="B53" s="123" t="s">
        <v>449</v>
      </c>
      <c r="C53" s="1337">
        <f>SUM(C39:C51)</f>
        <v>51713</v>
      </c>
      <c r="D53" s="1337">
        <f>SUM(D39:D51)</f>
        <v>110511</v>
      </c>
      <c r="E53" s="360">
        <f>SUM(E39:E51)</f>
        <v>162224</v>
      </c>
      <c r="F53" s="1337">
        <f>SUM(F43:F52)</f>
        <v>5948</v>
      </c>
      <c r="G53" s="360">
        <f>SUM(G43:G52)</f>
        <v>0</v>
      </c>
      <c r="H53" s="1337">
        <f>SUM(H43:H52)</f>
        <v>57661</v>
      </c>
      <c r="I53" s="1337">
        <f t="shared" ref="I53:J53" si="11">SUM(I43:I52)</f>
        <v>110511</v>
      </c>
      <c r="J53" s="1337">
        <f t="shared" si="11"/>
        <v>168172</v>
      </c>
      <c r="K53" s="1731" t="s">
        <v>442</v>
      </c>
      <c r="L53" s="121">
        <f>SUM(L39:L52)</f>
        <v>0</v>
      </c>
      <c r="M53" s="1336">
        <f>SUM(M39:M52)</f>
        <v>0</v>
      </c>
      <c r="N53" s="1356">
        <f>SUM(N39:N52)</f>
        <v>0</v>
      </c>
      <c r="O53" s="1336">
        <v>0</v>
      </c>
      <c r="P53" s="1356">
        <v>0</v>
      </c>
      <c r="Q53" s="1350">
        <v>0</v>
      </c>
      <c r="R53" s="1350">
        <v>0</v>
      </c>
      <c r="S53" s="1363">
        <v>0</v>
      </c>
    </row>
    <row r="54" spans="1:19" ht="12" thickBot="1" x14ac:dyDescent="0.25">
      <c r="A54" s="684">
        <f t="shared" si="0"/>
        <v>44</v>
      </c>
      <c r="B54" s="683" t="s">
        <v>444</v>
      </c>
      <c r="C54" s="675">
        <f>C34+C53</f>
        <v>122213</v>
      </c>
      <c r="D54" s="675">
        <f>D34+D53</f>
        <v>142511</v>
      </c>
      <c r="E54" s="675">
        <f>E34+E53</f>
        <v>264724</v>
      </c>
      <c r="F54" s="675">
        <f>F53+F34</f>
        <v>5948</v>
      </c>
      <c r="G54" s="675">
        <f t="shared" ref="G54:J54" si="12">G53+G34</f>
        <v>1910</v>
      </c>
      <c r="H54" s="675">
        <f t="shared" si="12"/>
        <v>128161</v>
      </c>
      <c r="I54" s="675">
        <f t="shared" si="12"/>
        <v>144421</v>
      </c>
      <c r="J54" s="675">
        <f t="shared" si="12"/>
        <v>272582</v>
      </c>
      <c r="K54" s="675" t="s">
        <v>443</v>
      </c>
      <c r="L54" s="675">
        <f>L34+L53</f>
        <v>122213</v>
      </c>
      <c r="M54" s="682">
        <f>M34+M53</f>
        <v>142511</v>
      </c>
      <c r="N54" s="682">
        <f>N34+N53</f>
        <v>264724</v>
      </c>
      <c r="O54" s="1730">
        <f>O34</f>
        <v>5948</v>
      </c>
      <c r="P54" s="682">
        <f>P34</f>
        <v>1910</v>
      </c>
      <c r="Q54" s="682">
        <f t="shared" ref="Q54:S54" si="13">Q34</f>
        <v>128161</v>
      </c>
      <c r="R54" s="682">
        <f t="shared" si="13"/>
        <v>144421</v>
      </c>
      <c r="S54" s="682">
        <f t="shared" si="13"/>
        <v>272582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8"/>
      <c r="N55" s="128"/>
    </row>
    <row r="60" spans="1:19" x14ac:dyDescent="0.2">
      <c r="J60" s="119"/>
    </row>
  </sheetData>
  <mergeCells count="16">
    <mergeCell ref="A8:A10"/>
    <mergeCell ref="B8:B9"/>
    <mergeCell ref="K8:K9"/>
    <mergeCell ref="C9:E9"/>
    <mergeCell ref="L9:N9"/>
    <mergeCell ref="C8:J8"/>
    <mergeCell ref="F9:G9"/>
    <mergeCell ref="H9:J9"/>
    <mergeCell ref="C1:S1"/>
    <mergeCell ref="B7:S7"/>
    <mergeCell ref="O9:P9"/>
    <mergeCell ref="Q9:S9"/>
    <mergeCell ref="L8:S8"/>
    <mergeCell ref="B4:S4"/>
    <mergeCell ref="B5:S5"/>
    <mergeCell ref="B6:S6"/>
  </mergeCells>
  <pageMargins left="0.70866141732283472" right="0.70866141732283472" top="0.74803149606299213" bottom="0.74803149606299213" header="0.31496062992125984" footer="0.31496062992125984"/>
  <pageSetup paperSize="8" scale="77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59"/>
  <sheetViews>
    <sheetView topLeftCell="C22" zoomScale="120" workbookViewId="0">
      <selection activeCell="Q59" sqref="Q59"/>
    </sheetView>
  </sheetViews>
  <sheetFormatPr defaultColWidth="9.140625" defaultRowHeight="11.25" x14ac:dyDescent="0.2"/>
  <cols>
    <col min="1" max="1" width="4.85546875" style="113" customWidth="1"/>
    <col min="2" max="2" width="36.7109375" style="113" customWidth="1"/>
    <col min="3" max="3" width="11" style="114" customWidth="1"/>
    <col min="4" max="4" width="11.140625" style="114" customWidth="1"/>
    <col min="5" max="5" width="11.28515625" style="114" customWidth="1"/>
    <col min="6" max="6" width="11.140625" style="114" customWidth="1"/>
    <col min="7" max="9" width="11.28515625" style="114" customWidth="1"/>
    <col min="10" max="10" width="11.140625" style="114" customWidth="1"/>
    <col min="11" max="11" width="38" style="114" customWidth="1"/>
    <col min="12" max="12" width="11" style="114" customWidth="1"/>
    <col min="13" max="13" width="11.140625" style="198" customWidth="1"/>
    <col min="14" max="14" width="11.28515625" style="198" customWidth="1"/>
    <col min="15" max="15" width="11" style="113" customWidth="1"/>
    <col min="16" max="18" width="11.140625" style="9" customWidth="1"/>
    <col min="19" max="19" width="11" style="9" customWidth="1"/>
    <col min="20" max="16384" width="9.140625" style="9"/>
  </cols>
  <sheetData>
    <row r="1" spans="1:19" ht="12.75" customHeight="1" x14ac:dyDescent="0.2">
      <c r="B1" s="1660" t="s">
        <v>1352</v>
      </c>
      <c r="C1" s="1660"/>
      <c r="D1" s="1660"/>
      <c r="E1" s="1660"/>
      <c r="F1" s="1660"/>
      <c r="G1" s="1660"/>
      <c r="H1" s="1660"/>
      <c r="I1" s="1660"/>
      <c r="J1" s="1660"/>
      <c r="K1" s="1660"/>
      <c r="L1" s="1660"/>
      <c r="M1" s="1660"/>
      <c r="N1" s="1660"/>
      <c r="O1" s="1660"/>
      <c r="P1" s="1660"/>
      <c r="Q1" s="1660"/>
      <c r="R1" s="1660"/>
      <c r="S1" s="1660"/>
    </row>
    <row r="2" spans="1:19" x14ac:dyDescent="0.2">
      <c r="N2" s="246"/>
    </row>
    <row r="3" spans="1:19" x14ac:dyDescent="0.2">
      <c r="N3" s="246"/>
    </row>
    <row r="4" spans="1:19" s="95" customFormat="1" ht="12.75" customHeight="1" x14ac:dyDescent="0.2">
      <c r="A4" s="1414" t="s">
        <v>77</v>
      </c>
      <c r="B4" s="1414"/>
      <c r="C4" s="1414"/>
      <c r="D4" s="1414"/>
      <c r="E4" s="1414"/>
      <c r="F4" s="1414"/>
      <c r="G4" s="1414"/>
      <c r="H4" s="1414"/>
      <c r="I4" s="1414"/>
      <c r="J4" s="1414"/>
      <c r="K4" s="1414"/>
      <c r="L4" s="1414"/>
      <c r="M4" s="1414"/>
      <c r="N4" s="1414"/>
      <c r="O4" s="1414"/>
      <c r="P4" s="1414"/>
      <c r="Q4" s="1414"/>
      <c r="R4" s="1414"/>
      <c r="S4" s="1414"/>
    </row>
    <row r="5" spans="1:19" s="95" customFormat="1" ht="12.75" customHeight="1" x14ac:dyDescent="0.2">
      <c r="A5" s="1551" t="s">
        <v>717</v>
      </c>
      <c r="B5" s="1551"/>
      <c r="C5" s="1551"/>
      <c r="D5" s="1551"/>
      <c r="E5" s="1551"/>
      <c r="F5" s="1551"/>
      <c r="G5" s="1551"/>
      <c r="H5" s="1551"/>
      <c r="I5" s="1551"/>
      <c r="J5" s="1551"/>
      <c r="K5" s="1551"/>
      <c r="L5" s="1551"/>
      <c r="M5" s="1551"/>
      <c r="N5" s="1551"/>
      <c r="O5" s="1551"/>
      <c r="P5" s="1551"/>
      <c r="Q5" s="1551"/>
      <c r="R5" s="1551"/>
      <c r="S5" s="1551"/>
    </row>
    <row r="6" spans="1:19" s="95" customFormat="1" ht="12.75" customHeight="1" x14ac:dyDescent="0.2">
      <c r="A6" s="1414" t="s">
        <v>1161</v>
      </c>
      <c r="B6" s="1414"/>
      <c r="C6" s="1414"/>
      <c r="D6" s="1414"/>
      <c r="E6" s="1414"/>
      <c r="F6" s="1414"/>
      <c r="G6" s="1414"/>
      <c r="H6" s="1414"/>
      <c r="I6" s="1414"/>
      <c r="J6" s="1414"/>
      <c r="K6" s="1414"/>
      <c r="L6" s="1414"/>
      <c r="M6" s="1414"/>
      <c r="N6" s="1414"/>
      <c r="O6" s="1414"/>
      <c r="P6" s="1414"/>
      <c r="Q6" s="1414"/>
      <c r="R6" s="1414"/>
      <c r="S6" s="1414"/>
    </row>
    <row r="7" spans="1:19" s="95" customFormat="1" ht="12.75" customHeight="1" x14ac:dyDescent="0.2">
      <c r="A7" s="1656" t="s">
        <v>305</v>
      </c>
      <c r="B7" s="1656"/>
      <c r="C7" s="1656"/>
      <c r="D7" s="1656"/>
      <c r="E7" s="1656"/>
      <c r="F7" s="1656"/>
      <c r="G7" s="1656"/>
      <c r="H7" s="1656"/>
      <c r="I7" s="1656"/>
      <c r="J7" s="1656"/>
      <c r="K7" s="1656"/>
      <c r="L7" s="1656"/>
      <c r="M7" s="1656"/>
      <c r="N7" s="1656"/>
      <c r="O7" s="1656"/>
      <c r="P7" s="1656"/>
      <c r="Q7" s="1656"/>
      <c r="R7" s="1656"/>
      <c r="S7" s="1656"/>
    </row>
    <row r="8" spans="1:19" s="95" customFormat="1" ht="12.75" customHeight="1" x14ac:dyDescent="0.2">
      <c r="A8" s="1410" t="s">
        <v>56</v>
      </c>
      <c r="B8" s="1411" t="s">
        <v>57</v>
      </c>
      <c r="C8" s="1411" t="s">
        <v>58</v>
      </c>
      <c r="D8" s="1411"/>
      <c r="E8" s="1411"/>
      <c r="F8" s="1411"/>
      <c r="G8" s="1411"/>
      <c r="H8" s="1411"/>
      <c r="I8" s="1411"/>
      <c r="J8" s="1411"/>
      <c r="K8" s="1412" t="s">
        <v>59</v>
      </c>
      <c r="L8" s="1417" t="s">
        <v>60</v>
      </c>
      <c r="M8" s="1417"/>
      <c r="N8" s="1417"/>
      <c r="O8" s="1417"/>
      <c r="P8" s="1417"/>
      <c r="Q8" s="1417"/>
      <c r="R8" s="1417"/>
      <c r="S8" s="1417"/>
    </row>
    <row r="9" spans="1:19" s="95" customFormat="1" ht="12.75" customHeight="1" x14ac:dyDescent="0.2">
      <c r="A9" s="1410"/>
      <c r="B9" s="1411"/>
      <c r="C9" s="1413" t="s">
        <v>1345</v>
      </c>
      <c r="D9" s="1413"/>
      <c r="E9" s="1413"/>
      <c r="F9" s="1413" t="s">
        <v>1337</v>
      </c>
      <c r="G9" s="1413"/>
      <c r="H9" s="1413" t="s">
        <v>1338</v>
      </c>
      <c r="I9" s="1413"/>
      <c r="J9" s="1413"/>
      <c r="K9" s="1412"/>
      <c r="L9" s="1413" t="s">
        <v>1345</v>
      </c>
      <c r="M9" s="1413"/>
      <c r="N9" s="1413"/>
      <c r="O9" s="1413" t="s">
        <v>1337</v>
      </c>
      <c r="P9" s="1413"/>
      <c r="Q9" s="1413" t="s">
        <v>1338</v>
      </c>
      <c r="R9" s="1413"/>
      <c r="S9" s="1413"/>
    </row>
    <row r="10" spans="1:19" s="96" customFormat="1" ht="36.6" customHeight="1" x14ac:dyDescent="0.2">
      <c r="A10" s="1410"/>
      <c r="B10" s="1351" t="s">
        <v>61</v>
      </c>
      <c r="C10" s="1324" t="s">
        <v>62</v>
      </c>
      <c r="D10" s="1324" t="s">
        <v>63</v>
      </c>
      <c r="E10" s="1324" t="s">
        <v>64</v>
      </c>
      <c r="F10" s="1324" t="s">
        <v>62</v>
      </c>
      <c r="G10" s="1324" t="s">
        <v>63</v>
      </c>
      <c r="H10" s="1324" t="s">
        <v>62</v>
      </c>
      <c r="I10" s="1324" t="s">
        <v>63</v>
      </c>
      <c r="J10" s="1324" t="s">
        <v>64</v>
      </c>
      <c r="K10" s="1352" t="s">
        <v>65</v>
      </c>
      <c r="L10" s="1324" t="s">
        <v>62</v>
      </c>
      <c r="M10" s="1405" t="s">
        <v>63</v>
      </c>
      <c r="N10" s="1405" t="s">
        <v>64</v>
      </c>
      <c r="O10" s="1324" t="s">
        <v>62</v>
      </c>
      <c r="P10" s="1324" t="s">
        <v>63</v>
      </c>
      <c r="Q10" s="1324" t="s">
        <v>62</v>
      </c>
      <c r="R10" s="1324" t="s">
        <v>63</v>
      </c>
      <c r="S10" s="1324" t="s">
        <v>64</v>
      </c>
    </row>
    <row r="11" spans="1:19" ht="11.45" customHeight="1" x14ac:dyDescent="0.2">
      <c r="A11" s="552">
        <v>1</v>
      </c>
      <c r="B11" s="1326" t="s">
        <v>24</v>
      </c>
      <c r="C11" s="121"/>
      <c r="D11" s="121"/>
      <c r="E11" s="1360"/>
      <c r="F11" s="121"/>
      <c r="G11" s="1360"/>
      <c r="H11" s="121"/>
      <c r="I11" s="121"/>
      <c r="J11" s="1360"/>
      <c r="K11" s="1337" t="s">
        <v>25</v>
      </c>
      <c r="L11" s="121"/>
      <c r="M11" s="1336"/>
      <c r="N11" s="1406"/>
      <c r="O11" s="199"/>
      <c r="P11" s="1388"/>
      <c r="Q11" s="199"/>
      <c r="R11" s="199"/>
      <c r="S11" s="1388"/>
    </row>
    <row r="12" spans="1:19" x14ac:dyDescent="0.2">
      <c r="A12" s="552">
        <f t="shared" ref="A12:A54" si="0">A11+1</f>
        <v>2</v>
      </c>
      <c r="B12" s="118" t="s">
        <v>35</v>
      </c>
      <c r="C12" s="92"/>
      <c r="D12" s="92"/>
      <c r="E12" s="328"/>
      <c r="F12" s="92"/>
      <c r="G12" s="328"/>
      <c r="H12" s="92"/>
      <c r="I12" s="92"/>
      <c r="J12" s="328"/>
      <c r="K12" s="92" t="s">
        <v>216</v>
      </c>
      <c r="L12" s="193">
        <v>80691</v>
      </c>
      <c r="M12" s="193">
        <v>166037</v>
      </c>
      <c r="N12" s="1355">
        <f>SUM(L12:M12)</f>
        <v>246728</v>
      </c>
      <c r="O12" s="200">
        <v>952</v>
      </c>
      <c r="P12" s="1361">
        <v>163</v>
      </c>
      <c r="Q12" s="200">
        <f>L12+O12</f>
        <v>81643</v>
      </c>
      <c r="R12" s="200">
        <f>M12+P12</f>
        <v>166200</v>
      </c>
      <c r="S12" s="1361">
        <f>Q12+R12</f>
        <v>247843</v>
      </c>
    </row>
    <row r="13" spans="1:19" x14ac:dyDescent="0.2">
      <c r="A13" s="552">
        <f t="shared" si="0"/>
        <v>3</v>
      </c>
      <c r="B13" s="118" t="s">
        <v>36</v>
      </c>
      <c r="C13" s="92"/>
      <c r="D13" s="92"/>
      <c r="E13" s="328"/>
      <c r="F13" s="92"/>
      <c r="G13" s="328"/>
      <c r="H13" s="92"/>
      <c r="I13" s="92"/>
      <c r="J13" s="328"/>
      <c r="K13" s="92" t="s">
        <v>217</v>
      </c>
      <c r="L13" s="193">
        <v>13135</v>
      </c>
      <c r="M13" s="193">
        <v>33456</v>
      </c>
      <c r="N13" s="1355">
        <f>SUM(L13:M13)</f>
        <v>46591</v>
      </c>
      <c r="O13" s="200">
        <v>186</v>
      </c>
      <c r="P13" s="1361">
        <v>16</v>
      </c>
      <c r="Q13" s="200">
        <f t="shared" ref="Q13:Q34" si="1">L13+O13</f>
        <v>13321</v>
      </c>
      <c r="R13" s="200">
        <f t="shared" ref="R13:R34" si="2">M13+P13</f>
        <v>33472</v>
      </c>
      <c r="S13" s="1361">
        <f t="shared" ref="S13:S34" si="3">Q13+R13</f>
        <v>46793</v>
      </c>
    </row>
    <row r="14" spans="1:19" x14ac:dyDescent="0.2">
      <c r="A14" s="552">
        <f t="shared" si="0"/>
        <v>4</v>
      </c>
      <c r="B14" s="118" t="s">
        <v>193</v>
      </c>
      <c r="C14" s="193">
        <f>'tám, végl. pe.átv  '!C71</f>
        <v>20865</v>
      </c>
      <c r="D14" s="193">
        <f>'tám, végl. pe.átv  '!D71</f>
        <v>179</v>
      </c>
      <c r="E14" s="339">
        <f>SUM(C14:D14)</f>
        <v>21044</v>
      </c>
      <c r="F14" s="193"/>
      <c r="G14" s="339">
        <v>179</v>
      </c>
      <c r="H14" s="193">
        <f>C14+F14</f>
        <v>20865</v>
      </c>
      <c r="I14" s="193">
        <f>D14+G14</f>
        <v>358</v>
      </c>
      <c r="J14" s="339">
        <f>H14+I14</f>
        <v>21223</v>
      </c>
      <c r="K14" s="92" t="s">
        <v>218</v>
      </c>
      <c r="L14" s="193">
        <v>53639</v>
      </c>
      <c r="M14" s="193">
        <v>76600</v>
      </c>
      <c r="N14" s="1355">
        <f>SUM(L14:M14)</f>
        <v>130239</v>
      </c>
      <c r="O14" s="200">
        <v>14707</v>
      </c>
      <c r="P14" s="1361"/>
      <c r="Q14" s="200">
        <f t="shared" si="1"/>
        <v>68346</v>
      </c>
      <c r="R14" s="200">
        <f t="shared" si="2"/>
        <v>76600</v>
      </c>
      <c r="S14" s="1361">
        <f t="shared" si="3"/>
        <v>144946</v>
      </c>
    </row>
    <row r="15" spans="1:19" ht="12" customHeight="1" x14ac:dyDescent="0.2">
      <c r="A15" s="552">
        <f t="shared" si="0"/>
        <v>5</v>
      </c>
      <c r="B15" s="1391"/>
      <c r="C15" s="92"/>
      <c r="D15" s="92"/>
      <c r="E15" s="328"/>
      <c r="F15" s="92"/>
      <c r="G15" s="328"/>
      <c r="H15" s="193"/>
      <c r="I15" s="193"/>
      <c r="J15" s="339"/>
      <c r="K15" s="92"/>
      <c r="L15" s="1403"/>
      <c r="M15" s="1403"/>
      <c r="N15" s="339"/>
      <c r="O15" s="200"/>
      <c r="P15" s="1361"/>
      <c r="Q15" s="200"/>
      <c r="R15" s="200"/>
      <c r="S15" s="1361"/>
    </row>
    <row r="16" spans="1:19" x14ac:dyDescent="0.2">
      <c r="A16" s="552">
        <f t="shared" si="0"/>
        <v>6</v>
      </c>
      <c r="B16" s="118" t="s">
        <v>38</v>
      </c>
      <c r="C16" s="92"/>
      <c r="D16" s="92"/>
      <c r="E16" s="328"/>
      <c r="F16" s="92"/>
      <c r="G16" s="328"/>
      <c r="H16" s="193"/>
      <c r="I16" s="193"/>
      <c r="J16" s="339"/>
      <c r="K16" s="92" t="s">
        <v>28</v>
      </c>
      <c r="L16" s="119"/>
      <c r="M16" s="200"/>
      <c r="N16" s="1361"/>
      <c r="O16" s="200"/>
      <c r="P16" s="1361"/>
      <c r="Q16" s="200"/>
      <c r="R16" s="200"/>
      <c r="S16" s="1361"/>
    </row>
    <row r="17" spans="1:19" x14ac:dyDescent="0.2">
      <c r="A17" s="552">
        <f t="shared" si="0"/>
        <v>7</v>
      </c>
      <c r="B17" s="118"/>
      <c r="C17" s="92"/>
      <c r="D17" s="92"/>
      <c r="E17" s="328"/>
      <c r="F17" s="92"/>
      <c r="G17" s="328"/>
      <c r="H17" s="193"/>
      <c r="I17" s="193"/>
      <c r="J17" s="339"/>
      <c r="K17" s="92" t="s">
        <v>30</v>
      </c>
      <c r="L17" s="119"/>
      <c r="M17" s="200"/>
      <c r="N17" s="1361"/>
      <c r="O17" s="200"/>
      <c r="P17" s="1361"/>
      <c r="Q17" s="200"/>
      <c r="R17" s="200"/>
      <c r="S17" s="1361"/>
    </row>
    <row r="18" spans="1:19" x14ac:dyDescent="0.2">
      <c r="A18" s="552">
        <f t="shared" si="0"/>
        <v>8</v>
      </c>
      <c r="B18" s="118" t="s">
        <v>39</v>
      </c>
      <c r="C18" s="92"/>
      <c r="D18" s="92"/>
      <c r="E18" s="328"/>
      <c r="F18" s="92"/>
      <c r="G18" s="328"/>
      <c r="H18" s="193"/>
      <c r="I18" s="193"/>
      <c r="J18" s="339"/>
      <c r="K18" s="92" t="s">
        <v>447</v>
      </c>
      <c r="L18" s="119"/>
      <c r="M18" s="200"/>
      <c r="N18" s="1361"/>
      <c r="O18" s="200"/>
      <c r="P18" s="1361"/>
      <c r="Q18" s="200"/>
      <c r="R18" s="200"/>
      <c r="S18" s="1361"/>
    </row>
    <row r="19" spans="1:19" x14ac:dyDescent="0.2">
      <c r="A19" s="552">
        <f t="shared" si="0"/>
        <v>9</v>
      </c>
      <c r="B19" s="120" t="s">
        <v>40</v>
      </c>
      <c r="C19" s="1390"/>
      <c r="D19" s="1390"/>
      <c r="E19" s="1396"/>
      <c r="F19" s="1390"/>
      <c r="G19" s="1396"/>
      <c r="H19" s="193"/>
      <c r="I19" s="193"/>
      <c r="J19" s="339"/>
      <c r="K19" s="92" t="s">
        <v>446</v>
      </c>
      <c r="L19" s="119"/>
      <c r="M19" s="200"/>
      <c r="N19" s="1361"/>
      <c r="O19" s="200"/>
      <c r="P19" s="1361"/>
      <c r="Q19" s="200"/>
      <c r="R19" s="200"/>
      <c r="S19" s="1361"/>
    </row>
    <row r="20" spans="1:19" x14ac:dyDescent="0.2">
      <c r="A20" s="552">
        <f t="shared" si="0"/>
        <v>10</v>
      </c>
      <c r="B20" s="118" t="s">
        <v>195</v>
      </c>
      <c r="C20" s="1329">
        <v>18399</v>
      </c>
      <c r="D20" s="1329">
        <v>82512</v>
      </c>
      <c r="E20" s="1396">
        <f>SUM(C20:D20)</f>
        <v>100911</v>
      </c>
      <c r="F20" s="1390"/>
      <c r="G20" s="1396">
        <v>1380</v>
      </c>
      <c r="H20" s="193">
        <f t="shared" ref="H15:H44" si="4">C20+F20</f>
        <v>18399</v>
      </c>
      <c r="I20" s="193">
        <f t="shared" ref="I15:I44" si="5">D20+G20</f>
        <v>83892</v>
      </c>
      <c r="J20" s="339">
        <f t="shared" ref="J15:J44" si="6">H20+I20</f>
        <v>102291</v>
      </c>
      <c r="K20" s="92" t="s">
        <v>929</v>
      </c>
      <c r="L20" s="119"/>
      <c r="M20" s="200"/>
      <c r="N20" s="1361"/>
      <c r="O20" s="200"/>
      <c r="P20" s="1361"/>
      <c r="Q20" s="200"/>
      <c r="R20" s="200"/>
      <c r="S20" s="1361"/>
    </row>
    <row r="21" spans="1:19" x14ac:dyDescent="0.2">
      <c r="A21" s="552">
        <f t="shared" si="0"/>
        <v>11</v>
      </c>
      <c r="B21" s="1330"/>
      <c r="C21" s="1390"/>
      <c r="D21" s="1390"/>
      <c r="E21" s="1396"/>
      <c r="F21" s="1390"/>
      <c r="G21" s="1396"/>
      <c r="H21" s="193"/>
      <c r="I21" s="193"/>
      <c r="J21" s="339"/>
      <c r="K21" s="92" t="s">
        <v>439</v>
      </c>
      <c r="L21" s="119"/>
      <c r="M21" s="200"/>
      <c r="N21" s="1361"/>
      <c r="O21" s="200"/>
      <c r="P21" s="1361"/>
      <c r="Q21" s="200"/>
      <c r="R21" s="200"/>
      <c r="S21" s="1361"/>
    </row>
    <row r="22" spans="1:19" s="97" customFormat="1" x14ac:dyDescent="0.2">
      <c r="A22" s="552">
        <f t="shared" si="0"/>
        <v>12</v>
      </c>
      <c r="B22" s="1330" t="s">
        <v>42</v>
      </c>
      <c r="C22" s="1390"/>
      <c r="D22" s="1390"/>
      <c r="E22" s="1396"/>
      <c r="F22" s="1390"/>
      <c r="G22" s="1396"/>
      <c r="H22" s="193"/>
      <c r="I22" s="193"/>
      <c r="J22" s="339"/>
      <c r="K22" s="92" t="s">
        <v>440</v>
      </c>
      <c r="L22" s="119"/>
      <c r="M22" s="200"/>
      <c r="N22" s="1361"/>
      <c r="O22" s="1393"/>
      <c r="P22" s="1398"/>
      <c r="Q22" s="200"/>
      <c r="R22" s="200"/>
      <c r="S22" s="1361"/>
    </row>
    <row r="23" spans="1:19" s="97" customFormat="1" x14ac:dyDescent="0.2">
      <c r="A23" s="552">
        <f t="shared" si="0"/>
        <v>13</v>
      </c>
      <c r="B23" s="1330" t="s">
        <v>43</v>
      </c>
      <c r="C23" s="1390"/>
      <c r="D23" s="1390"/>
      <c r="E23" s="1396"/>
      <c r="F23" s="1390"/>
      <c r="G23" s="1396"/>
      <c r="H23" s="193"/>
      <c r="I23" s="193"/>
      <c r="J23" s="339"/>
      <c r="K23" s="119"/>
      <c r="L23" s="119"/>
      <c r="M23" s="200"/>
      <c r="N23" s="1361"/>
      <c r="O23" s="1393"/>
      <c r="P23" s="1398"/>
      <c r="Q23" s="200"/>
      <c r="R23" s="200"/>
      <c r="S23" s="1361"/>
    </row>
    <row r="24" spans="1:19" x14ac:dyDescent="0.2">
      <c r="A24" s="552">
        <f t="shared" si="0"/>
        <v>14</v>
      </c>
      <c r="B24" s="118" t="s">
        <v>44</v>
      </c>
      <c r="C24" s="1392"/>
      <c r="D24" s="1392"/>
      <c r="E24" s="1397"/>
      <c r="F24" s="1392"/>
      <c r="G24" s="1397"/>
      <c r="H24" s="193"/>
      <c r="I24" s="193"/>
      <c r="J24" s="339"/>
      <c r="K24" s="1374" t="s">
        <v>66</v>
      </c>
      <c r="L24" s="1374">
        <f>SUM(L12:L22)</f>
        <v>147465</v>
      </c>
      <c r="M24" s="1349">
        <f>SUM(M12:M22)</f>
        <v>276093</v>
      </c>
      <c r="N24" s="1362">
        <f>SUM(N12:N22)</f>
        <v>423558</v>
      </c>
      <c r="O24" s="1349">
        <f>SUM(O12:O23)</f>
        <v>15845</v>
      </c>
      <c r="P24" s="1362">
        <f>SUM(P12:P23)</f>
        <v>179</v>
      </c>
      <c r="Q24" s="1349">
        <f t="shared" si="1"/>
        <v>163310</v>
      </c>
      <c r="R24" s="1349">
        <f t="shared" si="2"/>
        <v>276272</v>
      </c>
      <c r="S24" s="1362">
        <f t="shared" si="3"/>
        <v>439582</v>
      </c>
    </row>
    <row r="25" spans="1:19" x14ac:dyDescent="0.2">
      <c r="A25" s="552">
        <f t="shared" si="0"/>
        <v>15</v>
      </c>
      <c r="B25" s="118" t="s">
        <v>45</v>
      </c>
      <c r="C25" s="1390">
        <v>0</v>
      </c>
      <c r="D25" s="1390"/>
      <c r="E25" s="1396">
        <f>D25+C25</f>
        <v>0</v>
      </c>
      <c r="F25" s="1390"/>
      <c r="G25" s="1396"/>
      <c r="H25" s="193"/>
      <c r="I25" s="193"/>
      <c r="J25" s="339"/>
      <c r="K25" s="119"/>
      <c r="L25" s="119"/>
      <c r="M25" s="200"/>
      <c r="N25" s="1361"/>
      <c r="O25" s="200"/>
      <c r="P25" s="1361"/>
      <c r="Q25" s="200"/>
      <c r="R25" s="200"/>
      <c r="S25" s="1361"/>
    </row>
    <row r="26" spans="1:19" x14ac:dyDescent="0.2">
      <c r="A26" s="552">
        <f t="shared" si="0"/>
        <v>16</v>
      </c>
      <c r="B26" s="118" t="s">
        <v>46</v>
      </c>
      <c r="C26" s="1337"/>
      <c r="D26" s="1337"/>
      <c r="E26" s="360"/>
      <c r="F26" s="1337"/>
      <c r="G26" s="360"/>
      <c r="H26" s="193"/>
      <c r="I26" s="193"/>
      <c r="J26" s="339"/>
      <c r="K26" s="1337" t="s">
        <v>34</v>
      </c>
      <c r="L26" s="121"/>
      <c r="M26" s="1336"/>
      <c r="N26" s="1361"/>
      <c r="O26" s="200"/>
      <c r="P26" s="1361"/>
      <c r="Q26" s="200"/>
      <c r="R26" s="200"/>
      <c r="S26" s="1361"/>
    </row>
    <row r="27" spans="1:19" x14ac:dyDescent="0.2">
      <c r="A27" s="552">
        <f t="shared" si="0"/>
        <v>17</v>
      </c>
      <c r="B27" s="118" t="s">
        <v>47</v>
      </c>
      <c r="C27" s="92"/>
      <c r="D27" s="92"/>
      <c r="E27" s="328"/>
      <c r="F27" s="92"/>
      <c r="G27" s="328"/>
      <c r="H27" s="193"/>
      <c r="I27" s="193"/>
      <c r="J27" s="339"/>
      <c r="K27" s="92" t="s">
        <v>274</v>
      </c>
      <c r="L27" s="119">
        <f>'felhalm. kiad.  '!M123</f>
        <v>0</v>
      </c>
      <c r="M27" s="200">
        <f>'felhalm. kiad.  '!P120</f>
        <v>1000</v>
      </c>
      <c r="N27" s="1361">
        <f>SUM(L27:M27)</f>
        <v>1000</v>
      </c>
      <c r="O27" s="200"/>
      <c r="P27" s="1361">
        <v>1380</v>
      </c>
      <c r="Q27" s="200">
        <f t="shared" si="1"/>
        <v>0</v>
      </c>
      <c r="R27" s="200">
        <f t="shared" si="2"/>
        <v>2380</v>
      </c>
      <c r="S27" s="1361">
        <f t="shared" si="3"/>
        <v>2380</v>
      </c>
    </row>
    <row r="28" spans="1:19" x14ac:dyDescent="0.2">
      <c r="A28" s="552">
        <f t="shared" si="0"/>
        <v>18</v>
      </c>
      <c r="B28" s="118"/>
      <c r="C28" s="92"/>
      <c r="D28" s="92"/>
      <c r="E28" s="328"/>
      <c r="F28" s="92"/>
      <c r="G28" s="328"/>
      <c r="H28" s="193"/>
      <c r="I28" s="193"/>
      <c r="J28" s="339"/>
      <c r="K28" s="92" t="s">
        <v>31</v>
      </c>
      <c r="L28" s="119"/>
      <c r="M28" s="200"/>
      <c r="N28" s="1361"/>
      <c r="O28" s="200"/>
      <c r="P28" s="1361"/>
      <c r="Q28" s="200"/>
      <c r="R28" s="200"/>
      <c r="S28" s="1361"/>
    </row>
    <row r="29" spans="1:19" x14ac:dyDescent="0.2">
      <c r="A29" s="552">
        <f t="shared" si="0"/>
        <v>19</v>
      </c>
      <c r="B29" s="1330" t="s">
        <v>50</v>
      </c>
      <c r="C29" s="92"/>
      <c r="D29" s="92"/>
      <c r="E29" s="328"/>
      <c r="F29" s="92"/>
      <c r="G29" s="328"/>
      <c r="H29" s="193"/>
      <c r="I29" s="193"/>
      <c r="J29" s="339"/>
      <c r="K29" s="92" t="s">
        <v>32</v>
      </c>
      <c r="L29" s="119"/>
      <c r="M29" s="200"/>
      <c r="N29" s="1361"/>
      <c r="O29" s="200"/>
      <c r="P29" s="1361"/>
      <c r="Q29" s="200"/>
      <c r="R29" s="200"/>
      <c r="S29" s="1361"/>
    </row>
    <row r="30" spans="1:19" s="97" customFormat="1" x14ac:dyDescent="0.2">
      <c r="A30" s="552">
        <f t="shared" si="0"/>
        <v>20</v>
      </c>
      <c r="B30" s="1330" t="s">
        <v>48</v>
      </c>
      <c r="C30" s="92"/>
      <c r="D30" s="92"/>
      <c r="E30" s="328"/>
      <c r="F30" s="92"/>
      <c r="G30" s="328"/>
      <c r="H30" s="193"/>
      <c r="I30" s="193"/>
      <c r="J30" s="339"/>
      <c r="K30" s="92" t="s">
        <v>448</v>
      </c>
      <c r="L30" s="119"/>
      <c r="M30" s="200"/>
      <c r="N30" s="1361"/>
      <c r="O30" s="1393"/>
      <c r="P30" s="1398"/>
      <c r="Q30" s="200"/>
      <c r="R30" s="200"/>
      <c r="S30" s="1361"/>
    </row>
    <row r="31" spans="1:19" x14ac:dyDescent="0.2">
      <c r="A31" s="552">
        <f t="shared" si="0"/>
        <v>21</v>
      </c>
      <c r="B31" s="1330"/>
      <c r="C31" s="92"/>
      <c r="D31" s="92"/>
      <c r="E31" s="328"/>
      <c r="F31" s="92"/>
      <c r="G31" s="328"/>
      <c r="H31" s="193"/>
      <c r="I31" s="193"/>
      <c r="J31" s="339"/>
      <c r="K31" s="92" t="s">
        <v>445</v>
      </c>
      <c r="L31" s="119"/>
      <c r="M31" s="200"/>
      <c r="N31" s="1361"/>
      <c r="O31" s="200"/>
      <c r="P31" s="1361"/>
      <c r="Q31" s="200"/>
      <c r="R31" s="200"/>
      <c r="S31" s="1361"/>
    </row>
    <row r="32" spans="1:19" s="10" customFormat="1" x14ac:dyDescent="0.2">
      <c r="A32" s="552">
        <f t="shared" si="0"/>
        <v>22</v>
      </c>
      <c r="B32" s="1333" t="s">
        <v>52</v>
      </c>
      <c r="C32" s="1407">
        <f>C14+C20</f>
        <v>39264</v>
      </c>
      <c r="D32" s="1407">
        <f>D14+D20</f>
        <v>82691</v>
      </c>
      <c r="E32" s="1408">
        <f>E14+E20</f>
        <v>121955</v>
      </c>
      <c r="F32" s="1407"/>
      <c r="G32" s="1408">
        <f>SUM(G14:G31)</f>
        <v>1559</v>
      </c>
      <c r="H32" s="193">
        <f t="shared" si="4"/>
        <v>39264</v>
      </c>
      <c r="I32" s="193">
        <f t="shared" si="5"/>
        <v>84250</v>
      </c>
      <c r="J32" s="339">
        <f t="shared" si="6"/>
        <v>123514</v>
      </c>
      <c r="K32" s="92" t="s">
        <v>441</v>
      </c>
      <c r="L32" s="119"/>
      <c r="M32" s="200"/>
      <c r="N32" s="1361"/>
      <c r="O32" s="1336"/>
      <c r="P32" s="1356"/>
      <c r="Q32" s="200"/>
      <c r="R32" s="200"/>
      <c r="S32" s="1361"/>
    </row>
    <row r="33" spans="1:19" x14ac:dyDescent="0.2">
      <c r="A33" s="552">
        <f t="shared" si="0"/>
        <v>23</v>
      </c>
      <c r="B33" s="1376" t="s">
        <v>67</v>
      </c>
      <c r="C33" s="1394">
        <f>C16+C24+C25+C26+C27+C30</f>
        <v>0</v>
      </c>
      <c r="D33" s="1394">
        <f t="shared" ref="D33:E33" si="7">D16+D24+D25+D26+D27+D30</f>
        <v>0</v>
      </c>
      <c r="E33" s="1401">
        <f t="shared" si="7"/>
        <v>0</v>
      </c>
      <c r="F33" s="1394"/>
      <c r="G33" s="1401"/>
      <c r="H33" s="193">
        <f t="shared" si="4"/>
        <v>0</v>
      </c>
      <c r="I33" s="193">
        <f t="shared" si="5"/>
        <v>0</v>
      </c>
      <c r="J33" s="339">
        <f t="shared" si="6"/>
        <v>0</v>
      </c>
      <c r="K33" s="1392" t="s">
        <v>68</v>
      </c>
      <c r="L33" s="1394">
        <f>SUM(L27:L32)</f>
        <v>0</v>
      </c>
      <c r="M33" s="1393">
        <f>SUM(M27:M32)</f>
        <v>1000</v>
      </c>
      <c r="N33" s="1398">
        <f>SUM(N27:N31)</f>
        <v>1000</v>
      </c>
      <c r="O33" s="1393">
        <f>SUM(O27:O32)</f>
        <v>0</v>
      </c>
      <c r="P33" s="1398">
        <f>SUM(P27:P32)</f>
        <v>1380</v>
      </c>
      <c r="Q33" s="1393">
        <f t="shared" si="1"/>
        <v>0</v>
      </c>
      <c r="R33" s="1393">
        <f t="shared" si="2"/>
        <v>2380</v>
      </c>
      <c r="S33" s="1398">
        <f t="shared" si="3"/>
        <v>2380</v>
      </c>
    </row>
    <row r="34" spans="1:19" x14ac:dyDescent="0.2">
      <c r="A34" s="552">
        <f t="shared" si="0"/>
        <v>24</v>
      </c>
      <c r="B34" s="123" t="s">
        <v>51</v>
      </c>
      <c r="C34" s="121">
        <f>SUM(C32:C33)</f>
        <v>39264</v>
      </c>
      <c r="D34" s="121">
        <f>SUM(D32:D33)</f>
        <v>82691</v>
      </c>
      <c r="E34" s="1354">
        <f>SUM(C34:D34)</f>
        <v>121955</v>
      </c>
      <c r="F34" s="121"/>
      <c r="G34" s="1354">
        <f>G33+G32</f>
        <v>1559</v>
      </c>
      <c r="H34" s="193">
        <f t="shared" si="4"/>
        <v>39264</v>
      </c>
      <c r="I34" s="193">
        <f t="shared" si="5"/>
        <v>84250</v>
      </c>
      <c r="J34" s="339">
        <f t="shared" si="6"/>
        <v>123514</v>
      </c>
      <c r="K34" s="121" t="s">
        <v>69</v>
      </c>
      <c r="L34" s="121">
        <f>L24+L33</f>
        <v>147465</v>
      </c>
      <c r="M34" s="1336">
        <f>M24+M33</f>
        <v>277093</v>
      </c>
      <c r="N34" s="1356">
        <f>N24+N33</f>
        <v>424558</v>
      </c>
      <c r="O34" s="1336">
        <f>O33+O24</f>
        <v>15845</v>
      </c>
      <c r="P34" s="1336">
        <f t="shared" ref="P34:S34" si="8">P33+P24</f>
        <v>1559</v>
      </c>
      <c r="Q34" s="1336">
        <f t="shared" si="8"/>
        <v>163310</v>
      </c>
      <c r="R34" s="1336">
        <f t="shared" si="8"/>
        <v>278652</v>
      </c>
      <c r="S34" s="1336">
        <f t="shared" si="8"/>
        <v>441962</v>
      </c>
    </row>
    <row r="35" spans="1:19" x14ac:dyDescent="0.2">
      <c r="A35" s="552">
        <f t="shared" si="0"/>
        <v>25</v>
      </c>
      <c r="B35" s="1330"/>
      <c r="C35" s="119"/>
      <c r="D35" s="119"/>
      <c r="E35" s="327"/>
      <c r="F35" s="119"/>
      <c r="G35" s="327"/>
      <c r="H35" s="193"/>
      <c r="I35" s="193"/>
      <c r="J35" s="339"/>
      <c r="K35" s="119"/>
      <c r="L35" s="119"/>
      <c r="M35" s="200"/>
      <c r="N35" s="1361"/>
      <c r="O35" s="200"/>
      <c r="P35" s="1361"/>
      <c r="Q35" s="199"/>
      <c r="R35" s="199"/>
      <c r="S35" s="1368"/>
    </row>
    <row r="36" spans="1:19" x14ac:dyDescent="0.2">
      <c r="A36" s="552">
        <f t="shared" si="0"/>
        <v>26</v>
      </c>
      <c r="B36" s="1330"/>
      <c r="C36" s="119"/>
      <c r="D36" s="119"/>
      <c r="E36" s="327"/>
      <c r="F36" s="119"/>
      <c r="G36" s="327"/>
      <c r="H36" s="193"/>
      <c r="I36" s="193"/>
      <c r="J36" s="339"/>
      <c r="K36" s="1374"/>
      <c r="L36" s="1374"/>
      <c r="M36" s="1349"/>
      <c r="N36" s="1362"/>
      <c r="O36" s="200"/>
      <c r="P36" s="1361"/>
      <c r="Q36" s="199"/>
      <c r="R36" s="199"/>
      <c r="S36" s="1368"/>
    </row>
    <row r="37" spans="1:19" s="10" customFormat="1" x14ac:dyDescent="0.2">
      <c r="A37" s="552">
        <f t="shared" si="0"/>
        <v>27</v>
      </c>
      <c r="B37" s="1330"/>
      <c r="C37" s="119"/>
      <c r="D37" s="119"/>
      <c r="E37" s="327"/>
      <c r="F37" s="119"/>
      <c r="G37" s="327"/>
      <c r="H37" s="193"/>
      <c r="I37" s="193"/>
      <c r="J37" s="339"/>
      <c r="K37" s="119"/>
      <c r="L37" s="119"/>
      <c r="M37" s="200"/>
      <c r="N37" s="1361"/>
      <c r="O37" s="1336"/>
      <c r="P37" s="1356"/>
      <c r="Q37" s="1350"/>
      <c r="R37" s="1350"/>
      <c r="S37" s="1363"/>
    </row>
    <row r="38" spans="1:19" s="10" customFormat="1" x14ac:dyDescent="0.2">
      <c r="A38" s="552">
        <f t="shared" si="0"/>
        <v>28</v>
      </c>
      <c r="B38" s="1337" t="s">
        <v>53</v>
      </c>
      <c r="C38" s="1337"/>
      <c r="D38" s="1337"/>
      <c r="E38" s="360"/>
      <c r="F38" s="1337"/>
      <c r="G38" s="360"/>
      <c r="H38" s="193"/>
      <c r="I38" s="193"/>
      <c r="J38" s="339"/>
      <c r="K38" s="1337" t="s">
        <v>33</v>
      </c>
      <c r="L38" s="121"/>
      <c r="M38" s="1336"/>
      <c r="N38" s="1356"/>
      <c r="O38" s="1336"/>
      <c r="P38" s="1356"/>
      <c r="Q38" s="1350"/>
      <c r="R38" s="1350"/>
      <c r="S38" s="1363"/>
    </row>
    <row r="39" spans="1:19" s="10" customFormat="1" x14ac:dyDescent="0.2">
      <c r="A39" s="552">
        <f t="shared" si="0"/>
        <v>29</v>
      </c>
      <c r="B39" s="1338" t="s">
        <v>685</v>
      </c>
      <c r="C39" s="1337"/>
      <c r="D39" s="1337"/>
      <c r="E39" s="360"/>
      <c r="F39" s="1337"/>
      <c r="G39" s="360"/>
      <c r="H39" s="193"/>
      <c r="I39" s="193"/>
      <c r="J39" s="339"/>
      <c r="K39" s="1338" t="s">
        <v>4</v>
      </c>
      <c r="L39" s="121"/>
      <c r="M39" s="1350"/>
      <c r="N39" s="1363"/>
      <c r="O39" s="1336"/>
      <c r="P39" s="1356"/>
      <c r="Q39" s="1350"/>
      <c r="R39" s="1350"/>
      <c r="S39" s="1363"/>
    </row>
    <row r="40" spans="1:19" s="10" customFormat="1" x14ac:dyDescent="0.2">
      <c r="A40" s="552">
        <f t="shared" si="0"/>
        <v>30</v>
      </c>
      <c r="B40" s="118" t="s">
        <v>964</v>
      </c>
      <c r="C40" s="1337"/>
      <c r="D40" s="1337"/>
      <c r="E40" s="360"/>
      <c r="F40" s="1337"/>
      <c r="G40" s="360"/>
      <c r="H40" s="193"/>
      <c r="I40" s="193"/>
      <c r="J40" s="339"/>
      <c r="K40" s="118" t="s">
        <v>3</v>
      </c>
      <c r="L40" s="121"/>
      <c r="M40" s="1336"/>
      <c r="N40" s="1356"/>
      <c r="O40" s="1336"/>
      <c r="P40" s="1356"/>
      <c r="Q40" s="1350"/>
      <c r="R40" s="1350"/>
      <c r="S40" s="1363"/>
    </row>
    <row r="41" spans="1:19" x14ac:dyDescent="0.2">
      <c r="A41" s="552">
        <f t="shared" si="0"/>
        <v>31</v>
      </c>
      <c r="B41" s="92" t="s">
        <v>687</v>
      </c>
      <c r="C41" s="1395"/>
      <c r="D41" s="1395"/>
      <c r="E41" s="1399"/>
      <c r="F41" s="1395"/>
      <c r="G41" s="1399"/>
      <c r="H41" s="193"/>
      <c r="I41" s="193"/>
      <c r="J41" s="339"/>
      <c r="K41" s="92" t="s">
        <v>5</v>
      </c>
      <c r="L41" s="121"/>
      <c r="M41" s="1336"/>
      <c r="N41" s="1356"/>
      <c r="O41" s="200"/>
      <c r="P41" s="1361"/>
      <c r="Q41" s="199"/>
      <c r="R41" s="199"/>
      <c r="S41" s="1368"/>
    </row>
    <row r="42" spans="1:19" x14ac:dyDescent="0.2">
      <c r="A42" s="552">
        <f t="shared" si="0"/>
        <v>32</v>
      </c>
      <c r="B42" s="92" t="s">
        <v>208</v>
      </c>
      <c r="C42" s="92"/>
      <c r="D42" s="92"/>
      <c r="E42" s="328"/>
      <c r="F42" s="92"/>
      <c r="G42" s="328"/>
      <c r="H42" s="193"/>
      <c r="I42" s="193"/>
      <c r="J42" s="339"/>
      <c r="K42" s="92" t="s">
        <v>6</v>
      </c>
      <c r="L42" s="121"/>
      <c r="M42" s="1336"/>
      <c r="N42" s="1356"/>
      <c r="O42" s="200"/>
      <c r="P42" s="1361"/>
      <c r="Q42" s="199"/>
      <c r="R42" s="199"/>
      <c r="S42" s="1368"/>
    </row>
    <row r="43" spans="1:19" x14ac:dyDescent="0.2">
      <c r="A43" s="552">
        <f t="shared" si="0"/>
        <v>33</v>
      </c>
      <c r="B43" s="1345" t="s">
        <v>209</v>
      </c>
      <c r="C43" s="92">
        <v>0</v>
      </c>
      <c r="D43" s="92"/>
      <c r="E43" s="328">
        <f>C43+D43</f>
        <v>0</v>
      </c>
      <c r="F43" s="92">
        <v>14707</v>
      </c>
      <c r="G43" s="328"/>
      <c r="H43" s="193">
        <f t="shared" si="4"/>
        <v>14707</v>
      </c>
      <c r="I43" s="193">
        <f t="shared" si="5"/>
        <v>0</v>
      </c>
      <c r="J43" s="339">
        <f t="shared" si="6"/>
        <v>14707</v>
      </c>
      <c r="K43" s="92" t="s">
        <v>7</v>
      </c>
      <c r="L43" s="121"/>
      <c r="M43" s="1336"/>
      <c r="N43" s="1356"/>
      <c r="O43" s="200"/>
      <c r="P43" s="1361"/>
      <c r="Q43" s="199"/>
      <c r="R43" s="199"/>
      <c r="S43" s="1368"/>
    </row>
    <row r="44" spans="1:19" x14ac:dyDescent="0.2">
      <c r="A44" s="552">
        <f t="shared" si="0"/>
        <v>34</v>
      </c>
      <c r="B44" s="1345" t="s">
        <v>961</v>
      </c>
      <c r="C44" s="92"/>
      <c r="D44" s="92"/>
      <c r="E44" s="328"/>
      <c r="F44" s="92"/>
      <c r="G44" s="328"/>
      <c r="H44" s="193"/>
      <c r="I44" s="193"/>
      <c r="J44" s="339"/>
      <c r="K44" s="92"/>
      <c r="L44" s="121"/>
      <c r="M44" s="1336"/>
      <c r="N44" s="1356"/>
      <c r="O44" s="200"/>
      <c r="P44" s="1361"/>
      <c r="Q44" s="199"/>
      <c r="R44" s="199"/>
      <c r="S44" s="1368"/>
    </row>
    <row r="45" spans="1:19" x14ac:dyDescent="0.2">
      <c r="A45" s="552">
        <f t="shared" si="0"/>
        <v>35</v>
      </c>
      <c r="B45" s="92" t="s">
        <v>688</v>
      </c>
      <c r="C45" s="92"/>
      <c r="D45" s="92"/>
      <c r="E45" s="328"/>
      <c r="F45" s="92"/>
      <c r="G45" s="328"/>
      <c r="H45" s="92"/>
      <c r="I45" s="92"/>
      <c r="J45" s="328"/>
      <c r="K45" s="92" t="s">
        <v>8</v>
      </c>
      <c r="L45" s="121"/>
      <c r="M45" s="1336"/>
      <c r="N45" s="1361"/>
      <c r="O45" s="200"/>
      <c r="P45" s="1361"/>
      <c r="Q45" s="199"/>
      <c r="R45" s="199"/>
      <c r="S45" s="1368"/>
    </row>
    <row r="46" spans="1:19" x14ac:dyDescent="0.2">
      <c r="A46" s="552">
        <f t="shared" si="0"/>
        <v>36</v>
      </c>
      <c r="B46" s="92" t="s">
        <v>689</v>
      </c>
      <c r="C46" s="1337"/>
      <c r="D46" s="1337"/>
      <c r="E46" s="360"/>
      <c r="F46" s="1337"/>
      <c r="G46" s="360"/>
      <c r="H46" s="1337"/>
      <c r="I46" s="1337"/>
      <c r="J46" s="360"/>
      <c r="K46" s="92" t="s">
        <v>9</v>
      </c>
      <c r="L46" s="121"/>
      <c r="M46" s="1336"/>
      <c r="N46" s="1361"/>
      <c r="O46" s="200"/>
      <c r="P46" s="1361"/>
      <c r="Q46" s="199"/>
      <c r="R46" s="199"/>
      <c r="S46" s="1368"/>
    </row>
    <row r="47" spans="1:19" x14ac:dyDescent="0.2">
      <c r="A47" s="552">
        <f t="shared" si="0"/>
        <v>37</v>
      </c>
      <c r="B47" s="92" t="s">
        <v>212</v>
      </c>
      <c r="C47" s="92"/>
      <c r="D47" s="92"/>
      <c r="E47" s="328"/>
      <c r="F47" s="102"/>
      <c r="G47" s="328"/>
      <c r="H47" s="92"/>
      <c r="I47" s="92"/>
      <c r="J47" s="328"/>
      <c r="K47" s="92" t="s">
        <v>10</v>
      </c>
      <c r="L47" s="119"/>
      <c r="M47" s="200"/>
      <c r="N47" s="1361"/>
      <c r="O47" s="200"/>
      <c r="P47" s="1361"/>
      <c r="Q47" s="199"/>
      <c r="R47" s="199"/>
      <c r="S47" s="1368"/>
    </row>
    <row r="48" spans="1:19" x14ac:dyDescent="0.2">
      <c r="A48" s="552">
        <f t="shared" si="0"/>
        <v>38</v>
      </c>
      <c r="B48" s="1345" t="s">
        <v>213</v>
      </c>
      <c r="C48" s="193">
        <f>L24-(C32+C43)</f>
        <v>108201</v>
      </c>
      <c r="D48" s="193">
        <f>M24-(D32+D43)</f>
        <v>193402</v>
      </c>
      <c r="E48" s="339">
        <f>N24-(E32+E43)</f>
        <v>301603</v>
      </c>
      <c r="F48" s="345">
        <f t="shared" ref="F48:G48" si="9">O24-(F32+F43)</f>
        <v>1138</v>
      </c>
      <c r="G48" s="339">
        <f t="shared" si="9"/>
        <v>-1380</v>
      </c>
      <c r="H48" s="345">
        <f t="shared" ref="H48" si="10">Q24-(H32+H43)</f>
        <v>109339</v>
      </c>
      <c r="I48" s="193">
        <f t="shared" ref="I48:J48" si="11">R24-(I32+I43)</f>
        <v>192022</v>
      </c>
      <c r="J48" s="339">
        <f t="shared" si="11"/>
        <v>301361</v>
      </c>
      <c r="K48" s="92" t="s">
        <v>11</v>
      </c>
      <c r="L48" s="119"/>
      <c r="M48" s="200"/>
      <c r="N48" s="1361"/>
      <c r="O48" s="200"/>
      <c r="P48" s="1361"/>
      <c r="Q48" s="199"/>
      <c r="R48" s="199"/>
      <c r="S48" s="1368"/>
    </row>
    <row r="49" spans="1:19" x14ac:dyDescent="0.2">
      <c r="A49" s="552">
        <f t="shared" si="0"/>
        <v>39</v>
      </c>
      <c r="B49" s="1345" t="s">
        <v>214</v>
      </c>
      <c r="C49" s="92">
        <f>L33-C33</f>
        <v>0</v>
      </c>
      <c r="D49" s="92">
        <f>M33-D33</f>
        <v>1000</v>
      </c>
      <c r="E49" s="328">
        <f>N33-E33</f>
        <v>1000</v>
      </c>
      <c r="F49" s="102">
        <f t="shared" ref="F49:J49" si="12">O33-F33</f>
        <v>0</v>
      </c>
      <c r="G49" s="328">
        <f t="shared" si="12"/>
        <v>1380</v>
      </c>
      <c r="H49" s="102">
        <f t="shared" si="12"/>
        <v>0</v>
      </c>
      <c r="I49" s="92">
        <f t="shared" si="12"/>
        <v>2380</v>
      </c>
      <c r="J49" s="328">
        <f t="shared" si="12"/>
        <v>2380</v>
      </c>
      <c r="K49" s="92" t="s">
        <v>12</v>
      </c>
      <c r="L49" s="119"/>
      <c r="M49" s="200"/>
      <c r="N49" s="1361"/>
      <c r="O49" s="200"/>
      <c r="P49" s="1361"/>
      <c r="Q49" s="199"/>
      <c r="R49" s="199"/>
      <c r="S49" s="1368"/>
    </row>
    <row r="50" spans="1:19" x14ac:dyDescent="0.2">
      <c r="A50" s="552">
        <f t="shared" si="0"/>
        <v>40</v>
      </c>
      <c r="B50" s="92" t="s">
        <v>1</v>
      </c>
      <c r="C50" s="92"/>
      <c r="D50" s="92"/>
      <c r="E50" s="328"/>
      <c r="F50" s="102"/>
      <c r="G50" s="328"/>
      <c r="H50" s="102"/>
      <c r="I50" s="92"/>
      <c r="J50" s="328"/>
      <c r="K50" s="92" t="s">
        <v>13</v>
      </c>
      <c r="L50" s="119"/>
      <c r="M50" s="200"/>
      <c r="N50" s="1361"/>
      <c r="O50" s="200"/>
      <c r="P50" s="1361"/>
      <c r="Q50" s="199"/>
      <c r="R50" s="199"/>
      <c r="S50" s="1368"/>
    </row>
    <row r="51" spans="1:19" x14ac:dyDescent="0.2">
      <c r="A51" s="552">
        <f t="shared" si="0"/>
        <v>41</v>
      </c>
      <c r="B51" s="92"/>
      <c r="C51" s="92"/>
      <c r="D51" s="92"/>
      <c r="E51" s="328"/>
      <c r="F51" s="92"/>
      <c r="G51" s="328"/>
      <c r="H51" s="102"/>
      <c r="I51" s="92"/>
      <c r="J51" s="328"/>
      <c r="K51" s="92" t="s">
        <v>14</v>
      </c>
      <c r="L51" s="119"/>
      <c r="M51" s="200"/>
      <c r="N51" s="1361"/>
      <c r="O51" s="200"/>
      <c r="P51" s="1361"/>
      <c r="Q51" s="199"/>
      <c r="R51" s="199"/>
      <c r="S51" s="1368"/>
    </row>
    <row r="52" spans="1:19" x14ac:dyDescent="0.2">
      <c r="A52" s="552">
        <f t="shared" si="0"/>
        <v>42</v>
      </c>
      <c r="B52" s="92"/>
      <c r="C52" s="92"/>
      <c r="D52" s="92"/>
      <c r="E52" s="328"/>
      <c r="F52" s="92"/>
      <c r="G52" s="328"/>
      <c r="H52" s="92"/>
      <c r="I52" s="92"/>
      <c r="J52" s="328"/>
      <c r="K52" s="92" t="s">
        <v>15</v>
      </c>
      <c r="L52" s="119"/>
      <c r="M52" s="200"/>
      <c r="N52" s="1361"/>
      <c r="O52" s="200"/>
      <c r="P52" s="1361"/>
      <c r="Q52" s="199"/>
      <c r="R52" s="199"/>
      <c r="S52" s="1368"/>
    </row>
    <row r="53" spans="1:19" ht="12" thickBot="1" x14ac:dyDescent="0.25">
      <c r="A53" s="552">
        <f t="shared" si="0"/>
        <v>43</v>
      </c>
      <c r="B53" s="123" t="s">
        <v>449</v>
      </c>
      <c r="C53" s="1337">
        <f>SUM(C39:C51)</f>
        <v>108201</v>
      </c>
      <c r="D53" s="1337">
        <f>SUM(D39:D51)</f>
        <v>194402</v>
      </c>
      <c r="E53" s="360">
        <f>SUM(E39:E51)</f>
        <v>302603</v>
      </c>
      <c r="F53" s="1337">
        <f>SUM(F43:F52)</f>
        <v>15845</v>
      </c>
      <c r="G53" s="360">
        <f>SUM(G43:G52)</f>
        <v>0</v>
      </c>
      <c r="H53" s="1337">
        <f>SUM(H43:H52)</f>
        <v>124046</v>
      </c>
      <c r="I53" s="1337">
        <f>SUM(I43:I52)</f>
        <v>194402</v>
      </c>
      <c r="J53" s="360">
        <f>SUM(J43:J52)</f>
        <v>318448</v>
      </c>
      <c r="K53" s="1337" t="s">
        <v>442</v>
      </c>
      <c r="L53" s="121">
        <f>SUM(L39:L52)</f>
        <v>0</v>
      </c>
      <c r="M53" s="1336">
        <f>SUM(M39:M52)</f>
        <v>0</v>
      </c>
      <c r="N53" s="1356">
        <f>SUM(N39:N52)</f>
        <v>0</v>
      </c>
      <c r="O53" s="1336">
        <v>0</v>
      </c>
      <c r="P53" s="1356">
        <v>0</v>
      </c>
      <c r="Q53" s="1350">
        <v>0</v>
      </c>
      <c r="R53" s="1350">
        <v>0</v>
      </c>
      <c r="S53" s="1363">
        <v>0</v>
      </c>
    </row>
    <row r="54" spans="1:19" ht="12" thickBot="1" x14ac:dyDescent="0.25">
      <c r="A54" s="684">
        <f t="shared" si="0"/>
        <v>44</v>
      </c>
      <c r="B54" s="683" t="s">
        <v>444</v>
      </c>
      <c r="C54" s="675">
        <f>C34+C53</f>
        <v>147465</v>
      </c>
      <c r="D54" s="675">
        <f>D34+D53</f>
        <v>277093</v>
      </c>
      <c r="E54" s="675">
        <f>E34+E53</f>
        <v>424558</v>
      </c>
      <c r="F54" s="675">
        <f>F53+F34</f>
        <v>15845</v>
      </c>
      <c r="G54" s="675">
        <f t="shared" ref="G54:J54" si="13">G53+G34</f>
        <v>1559</v>
      </c>
      <c r="H54" s="675">
        <f t="shared" si="13"/>
        <v>163310</v>
      </c>
      <c r="I54" s="675">
        <f t="shared" si="13"/>
        <v>278652</v>
      </c>
      <c r="J54" s="675">
        <f t="shared" si="13"/>
        <v>441962</v>
      </c>
      <c r="K54" s="683" t="s">
        <v>443</v>
      </c>
      <c r="L54" s="675">
        <f>L34+L53</f>
        <v>147465</v>
      </c>
      <c r="M54" s="682">
        <f>M34+M53</f>
        <v>277093</v>
      </c>
      <c r="N54" s="682">
        <f>N34+N53</f>
        <v>424558</v>
      </c>
      <c r="O54" s="682">
        <f>O53+O34</f>
        <v>15845</v>
      </c>
      <c r="P54" s="682">
        <f t="shared" ref="P54:S54" si="14">P53+P34</f>
        <v>1559</v>
      </c>
      <c r="Q54" s="682">
        <f t="shared" si="14"/>
        <v>163310</v>
      </c>
      <c r="R54" s="682">
        <f t="shared" si="14"/>
        <v>278652</v>
      </c>
      <c r="S54" s="1733">
        <f t="shared" si="14"/>
        <v>441962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8"/>
      <c r="N55" s="128"/>
      <c r="O55" s="9"/>
    </row>
    <row r="56" spans="1:19" x14ac:dyDescent="0.2">
      <c r="O56" s="9"/>
    </row>
    <row r="57" spans="1:19" x14ac:dyDescent="0.2">
      <c r="G57" s="119"/>
    </row>
    <row r="59" spans="1:19" x14ac:dyDescent="0.2">
      <c r="I59" s="119"/>
    </row>
  </sheetData>
  <sheetProtection selectLockedCells="1" selectUnlockedCells="1"/>
  <mergeCells count="16">
    <mergeCell ref="O9:P9"/>
    <mergeCell ref="Q9:S9"/>
    <mergeCell ref="L8:S8"/>
    <mergeCell ref="A8:A10"/>
    <mergeCell ref="B8:B9"/>
    <mergeCell ref="K8:K9"/>
    <mergeCell ref="C9:E9"/>
    <mergeCell ref="L9:N9"/>
    <mergeCell ref="F9:G9"/>
    <mergeCell ref="H9:J9"/>
    <mergeCell ref="C8:J8"/>
    <mergeCell ref="A7:S7"/>
    <mergeCell ref="B1:S1"/>
    <mergeCell ref="A4:S4"/>
    <mergeCell ref="A5:S5"/>
    <mergeCell ref="A6:S6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92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B1" sqref="B1:O1"/>
    </sheetView>
  </sheetViews>
  <sheetFormatPr defaultColWidth="9.140625" defaultRowHeight="15.75" x14ac:dyDescent="0.25"/>
  <cols>
    <col min="1" max="1" width="3.85546875" style="15" customWidth="1"/>
    <col min="2" max="2" width="42.5703125" style="15" customWidth="1"/>
    <col min="3" max="4" width="9.7109375" style="272" customWidth="1"/>
    <col min="5" max="5" width="10.42578125" style="272" bestFit="1" customWidth="1"/>
    <col min="6" max="9" width="9.7109375" style="272" customWidth="1"/>
    <col min="10" max="10" width="10.140625" style="272" customWidth="1"/>
    <col min="11" max="14" width="9.7109375" style="272" customWidth="1"/>
    <col min="15" max="15" width="11.5703125" style="272" customWidth="1"/>
    <col min="16" max="16" width="10.140625" style="15" customWidth="1"/>
    <col min="17" max="16384" width="9.140625" style="15"/>
  </cols>
  <sheetData>
    <row r="1" spans="1:33" ht="12.75" customHeight="1" x14ac:dyDescent="0.25">
      <c r="B1" s="1663" t="s">
        <v>1281</v>
      </c>
      <c r="C1" s="1663"/>
      <c r="D1" s="1663"/>
      <c r="E1" s="1663"/>
      <c r="F1" s="1663"/>
      <c r="G1" s="1663"/>
      <c r="H1" s="1663"/>
      <c r="I1" s="1663"/>
      <c r="J1" s="1663"/>
      <c r="K1" s="1663"/>
      <c r="L1" s="1663"/>
      <c r="M1" s="1663"/>
      <c r="N1" s="1663"/>
      <c r="O1" s="1663"/>
      <c r="P1" s="613"/>
      <c r="Q1" s="613"/>
      <c r="R1" s="613"/>
      <c r="S1" s="613"/>
      <c r="T1" s="613"/>
      <c r="U1" s="613"/>
      <c r="V1" s="613"/>
      <c r="W1" s="613"/>
      <c r="X1" s="613"/>
      <c r="Y1" s="613"/>
      <c r="Z1" s="613"/>
      <c r="AA1" s="613"/>
      <c r="AB1" s="613"/>
      <c r="AC1" s="613"/>
      <c r="AD1" s="613"/>
      <c r="AE1" s="613"/>
      <c r="AF1" s="613"/>
      <c r="AG1" s="613"/>
    </row>
    <row r="2" spans="1:33" ht="14.1" customHeight="1" x14ac:dyDescent="0.25">
      <c r="A2" s="27"/>
      <c r="B2" s="1661" t="s">
        <v>86</v>
      </c>
      <c r="C2" s="1661"/>
      <c r="D2" s="1661"/>
      <c r="E2" s="1661"/>
      <c r="F2" s="1661"/>
      <c r="G2" s="1661"/>
      <c r="H2" s="1661"/>
      <c r="I2" s="1661"/>
      <c r="J2" s="1661"/>
      <c r="K2" s="1661"/>
      <c r="L2" s="1661"/>
      <c r="M2" s="1661"/>
      <c r="N2" s="1661"/>
      <c r="O2" s="1661"/>
    </row>
    <row r="3" spans="1:33" ht="14.1" customHeight="1" x14ac:dyDescent="0.25">
      <c r="A3" s="27"/>
      <c r="B3" s="1661" t="s">
        <v>1274</v>
      </c>
      <c r="C3" s="1661"/>
      <c r="D3" s="1661"/>
      <c r="E3" s="1661"/>
      <c r="F3" s="1661"/>
      <c r="G3" s="1661"/>
      <c r="H3" s="1661"/>
      <c r="I3" s="1661"/>
      <c r="J3" s="1661"/>
      <c r="K3" s="1661"/>
      <c r="L3" s="1661"/>
      <c r="M3" s="1661"/>
      <c r="N3" s="1661"/>
      <c r="O3" s="1661"/>
    </row>
    <row r="4" spans="1:33" ht="14.1" customHeight="1" x14ac:dyDescent="0.25">
      <c r="A4" s="27"/>
      <c r="B4" s="554"/>
      <c r="C4" s="555"/>
      <c r="D4" s="555"/>
      <c r="E4" s="555"/>
      <c r="F4" s="555"/>
      <c r="G4" s="555"/>
      <c r="H4" s="555"/>
      <c r="I4" s="555"/>
      <c r="J4" s="555"/>
      <c r="K4" s="555"/>
      <c r="L4" s="555"/>
      <c r="M4" s="555"/>
      <c r="N4" s="555"/>
      <c r="O4" s="555"/>
    </row>
    <row r="5" spans="1:33" ht="15" customHeight="1" x14ac:dyDescent="0.25">
      <c r="A5" s="1662"/>
      <c r="B5" s="556" t="s">
        <v>57</v>
      </c>
      <c r="C5" s="557" t="s">
        <v>58</v>
      </c>
      <c r="D5" s="557" t="s">
        <v>59</v>
      </c>
      <c r="E5" s="557" t="s">
        <v>60</v>
      </c>
      <c r="F5" s="557" t="s">
        <v>471</v>
      </c>
      <c r="G5" s="557" t="s">
        <v>472</v>
      </c>
      <c r="H5" s="557" t="s">
        <v>473</v>
      </c>
      <c r="I5" s="557" t="s">
        <v>595</v>
      </c>
      <c r="J5" s="557" t="s">
        <v>603</v>
      </c>
      <c r="K5" s="557" t="s">
        <v>604</v>
      </c>
      <c r="L5" s="557" t="s">
        <v>605</v>
      </c>
      <c r="M5" s="557" t="s">
        <v>606</v>
      </c>
      <c r="N5" s="557" t="s">
        <v>607</v>
      </c>
      <c r="O5" s="557" t="s">
        <v>608</v>
      </c>
    </row>
    <row r="6" spans="1:33" ht="12.75" customHeight="1" x14ac:dyDescent="0.25">
      <c r="A6" s="1662"/>
      <c r="B6" s="553" t="s">
        <v>85</v>
      </c>
      <c r="C6" s="558" t="s">
        <v>609</v>
      </c>
      <c r="D6" s="558" t="s">
        <v>610</v>
      </c>
      <c r="E6" s="558" t="s">
        <v>611</v>
      </c>
      <c r="F6" s="558" t="s">
        <v>612</v>
      </c>
      <c r="G6" s="558" t="s">
        <v>613</v>
      </c>
      <c r="H6" s="558" t="s">
        <v>614</v>
      </c>
      <c r="I6" s="558" t="s">
        <v>615</v>
      </c>
      <c r="J6" s="558" t="s">
        <v>616</v>
      </c>
      <c r="K6" s="558" t="s">
        <v>617</v>
      </c>
      <c r="L6" s="558" t="s">
        <v>618</v>
      </c>
      <c r="M6" s="558" t="s">
        <v>619</v>
      </c>
      <c r="N6" s="558" t="s">
        <v>620</v>
      </c>
      <c r="O6" s="558" t="s">
        <v>530</v>
      </c>
    </row>
    <row r="7" spans="1:33" s="27" customFormat="1" ht="12.75" customHeight="1" x14ac:dyDescent="0.25">
      <c r="A7" s="20" t="s">
        <v>480</v>
      </c>
      <c r="B7" s="29" t="s">
        <v>649</v>
      </c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</row>
    <row r="8" spans="1:33" s="27" customFormat="1" ht="15.75" customHeight="1" x14ac:dyDescent="0.25">
      <c r="A8" s="20" t="s">
        <v>488</v>
      </c>
      <c r="B8" s="27" t="s">
        <v>643</v>
      </c>
      <c r="C8" s="175">
        <f>O8/12</f>
        <v>74059.666666666672</v>
      </c>
      <c r="D8" s="175">
        <f>C8</f>
        <v>74059.666666666672</v>
      </c>
      <c r="E8" s="175">
        <f t="shared" ref="E8:N8" si="0">D8</f>
        <v>74059.666666666672</v>
      </c>
      <c r="F8" s="175">
        <f t="shared" si="0"/>
        <v>74059.666666666672</v>
      </c>
      <c r="G8" s="175">
        <f t="shared" si="0"/>
        <v>74059.666666666672</v>
      </c>
      <c r="H8" s="175">
        <f t="shared" si="0"/>
        <v>74059.666666666672</v>
      </c>
      <c r="I8" s="175">
        <f t="shared" si="0"/>
        <v>74059.666666666672</v>
      </c>
      <c r="J8" s="175">
        <f t="shared" si="0"/>
        <v>74059.666666666672</v>
      </c>
      <c r="K8" s="175">
        <f t="shared" si="0"/>
        <v>74059.666666666672</v>
      </c>
      <c r="L8" s="175">
        <f t="shared" si="0"/>
        <v>74059.666666666672</v>
      </c>
      <c r="M8" s="175">
        <f t="shared" si="0"/>
        <v>74059.666666666672</v>
      </c>
      <c r="N8" s="175">
        <f t="shared" si="0"/>
        <v>74059.666666666672</v>
      </c>
      <c r="O8" s="175">
        <f>Össz.önkor.mérleg.!E11</f>
        <v>888716</v>
      </c>
      <c r="P8" s="30"/>
    </row>
    <row r="9" spans="1:33" s="27" customFormat="1" ht="16.5" customHeight="1" x14ac:dyDescent="0.25">
      <c r="A9" s="20" t="s">
        <v>489</v>
      </c>
      <c r="B9" s="27" t="s">
        <v>644</v>
      </c>
      <c r="C9" s="175">
        <f>O9/12</f>
        <v>4772.416666666667</v>
      </c>
      <c r="D9" s="175">
        <f>C9</f>
        <v>4772.416666666667</v>
      </c>
      <c r="E9" s="175">
        <f t="shared" ref="E9:N9" si="1">D9</f>
        <v>4772.416666666667</v>
      </c>
      <c r="F9" s="175">
        <f t="shared" si="1"/>
        <v>4772.416666666667</v>
      </c>
      <c r="G9" s="175">
        <f t="shared" si="1"/>
        <v>4772.416666666667</v>
      </c>
      <c r="H9" s="175">
        <f t="shared" si="1"/>
        <v>4772.416666666667</v>
      </c>
      <c r="I9" s="175">
        <f t="shared" si="1"/>
        <v>4772.416666666667</v>
      </c>
      <c r="J9" s="175">
        <f t="shared" si="1"/>
        <v>4772.416666666667</v>
      </c>
      <c r="K9" s="175">
        <f t="shared" si="1"/>
        <v>4772.416666666667</v>
      </c>
      <c r="L9" s="175">
        <f t="shared" si="1"/>
        <v>4772.416666666667</v>
      </c>
      <c r="M9" s="175">
        <f t="shared" si="1"/>
        <v>4772.416666666667</v>
      </c>
      <c r="N9" s="175">
        <f t="shared" si="1"/>
        <v>4772.416666666667</v>
      </c>
      <c r="O9" s="175">
        <f>Össz.önkor.mérleg.!E13</f>
        <v>57269</v>
      </c>
      <c r="P9" s="30"/>
    </row>
    <row r="10" spans="1:33" s="27" customFormat="1" ht="15.75" customHeight="1" x14ac:dyDescent="0.25">
      <c r="A10" s="20" t="s">
        <v>490</v>
      </c>
      <c r="B10" s="27" t="s">
        <v>454</v>
      </c>
      <c r="C10" s="175">
        <f>O10/12</f>
        <v>103367</v>
      </c>
      <c r="D10" s="175">
        <f>C10</f>
        <v>103367</v>
      </c>
      <c r="E10" s="175">
        <f t="shared" ref="E10:N10" si="2">D10</f>
        <v>103367</v>
      </c>
      <c r="F10" s="175">
        <f t="shared" si="2"/>
        <v>103367</v>
      </c>
      <c r="G10" s="175">
        <f t="shared" si="2"/>
        <v>103367</v>
      </c>
      <c r="H10" s="175">
        <f t="shared" si="2"/>
        <v>103367</v>
      </c>
      <c r="I10" s="175">
        <f t="shared" si="2"/>
        <v>103367</v>
      </c>
      <c r="J10" s="175">
        <f t="shared" si="2"/>
        <v>103367</v>
      </c>
      <c r="K10" s="175">
        <f t="shared" si="2"/>
        <v>103367</v>
      </c>
      <c r="L10" s="175">
        <f t="shared" si="2"/>
        <v>103367</v>
      </c>
      <c r="M10" s="175">
        <f t="shared" si="2"/>
        <v>103367</v>
      </c>
      <c r="N10" s="175">
        <f t="shared" si="2"/>
        <v>103367</v>
      </c>
      <c r="O10" s="175">
        <f>Össz.önkor.mérleg.!E17</f>
        <v>1240404</v>
      </c>
      <c r="P10" s="30"/>
    </row>
    <row r="11" spans="1:33" s="28" customFormat="1" ht="18" customHeight="1" x14ac:dyDescent="0.25">
      <c r="A11" s="20" t="s">
        <v>491</v>
      </c>
      <c r="B11" s="28" t="s">
        <v>645</v>
      </c>
      <c r="C11" s="175">
        <f>O11/12</f>
        <v>50272.25</v>
      </c>
      <c r="D11" s="175">
        <f>C11</f>
        <v>50272.25</v>
      </c>
      <c r="E11" s="175">
        <f t="shared" ref="E11:N11" si="3">D11</f>
        <v>50272.25</v>
      </c>
      <c r="F11" s="175">
        <f t="shared" si="3"/>
        <v>50272.25</v>
      </c>
      <c r="G11" s="175">
        <f t="shared" si="3"/>
        <v>50272.25</v>
      </c>
      <c r="H11" s="175">
        <f t="shared" si="3"/>
        <v>50272.25</v>
      </c>
      <c r="I11" s="175">
        <f t="shared" si="3"/>
        <v>50272.25</v>
      </c>
      <c r="J11" s="175">
        <f t="shared" si="3"/>
        <v>50272.25</v>
      </c>
      <c r="K11" s="175">
        <f t="shared" si="3"/>
        <v>50272.25</v>
      </c>
      <c r="L11" s="175">
        <f t="shared" si="3"/>
        <v>50272.25</v>
      </c>
      <c r="M11" s="175">
        <f t="shared" si="3"/>
        <v>50272.25</v>
      </c>
      <c r="N11" s="175">
        <f t="shared" si="3"/>
        <v>50272.25</v>
      </c>
      <c r="O11" s="175">
        <f>Össz.önkor.mérleg.!E20</f>
        <v>603267</v>
      </c>
      <c r="P11" s="30"/>
    </row>
    <row r="12" spans="1:33" s="27" customFormat="1" ht="13.5" customHeight="1" x14ac:dyDescent="0.25">
      <c r="A12" s="20" t="s">
        <v>492</v>
      </c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>
        <f t="shared" ref="O12:O18" si="4">SUM(C12:N12)</f>
        <v>0</v>
      </c>
      <c r="P12" s="30"/>
    </row>
    <row r="13" spans="1:33" s="27" customFormat="1" ht="15" customHeight="1" x14ac:dyDescent="0.25">
      <c r="A13" s="20" t="s">
        <v>493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>
        <f t="shared" si="4"/>
        <v>0</v>
      </c>
      <c r="P13" s="30"/>
    </row>
    <row r="14" spans="1:33" s="29" customFormat="1" ht="15.75" customHeight="1" x14ac:dyDescent="0.25">
      <c r="A14" s="20" t="s">
        <v>494</v>
      </c>
      <c r="B14" s="559" t="s">
        <v>621</v>
      </c>
      <c r="C14" s="560">
        <f>SUM(C8:C13)</f>
        <v>232471.33333333334</v>
      </c>
      <c r="D14" s="560">
        <f>SUM(D8:D12)</f>
        <v>232471.33333333334</v>
      </c>
      <c r="E14" s="560">
        <f>SUM(E8:E12)</f>
        <v>232471.33333333334</v>
      </c>
      <c r="F14" s="560">
        <f>SUM(F8:F13)</f>
        <v>232471.33333333334</v>
      </c>
      <c r="G14" s="560">
        <f>SUM(G8:G13)</f>
        <v>232471.33333333334</v>
      </c>
      <c r="H14" s="560">
        <f t="shared" ref="H14:N14" si="5">SUM(H8:H12)</f>
        <v>232471.33333333334</v>
      </c>
      <c r="I14" s="560">
        <f t="shared" si="5"/>
        <v>232471.33333333334</v>
      </c>
      <c r="J14" s="560">
        <f t="shared" si="5"/>
        <v>232471.33333333334</v>
      </c>
      <c r="K14" s="560">
        <f t="shared" si="5"/>
        <v>232471.33333333334</v>
      </c>
      <c r="L14" s="560">
        <f t="shared" si="5"/>
        <v>232471.33333333334</v>
      </c>
      <c r="M14" s="560">
        <f t="shared" si="5"/>
        <v>232471.33333333334</v>
      </c>
      <c r="N14" s="560">
        <f t="shared" si="5"/>
        <v>232471.33333333334</v>
      </c>
      <c r="O14" s="561">
        <f>SUM(O8:O13)</f>
        <v>2789656</v>
      </c>
      <c r="P14" s="31"/>
    </row>
    <row r="15" spans="1:33" s="27" customFormat="1" ht="15.75" customHeight="1" x14ac:dyDescent="0.25">
      <c r="A15" s="20" t="s">
        <v>495</v>
      </c>
      <c r="B15" s="27" t="s">
        <v>646</v>
      </c>
      <c r="C15" s="175"/>
      <c r="D15" s="175"/>
      <c r="E15" s="175"/>
      <c r="F15" s="175"/>
      <c r="G15" s="562"/>
      <c r="H15" s="562"/>
      <c r="I15" s="562"/>
      <c r="J15" s="562"/>
      <c r="K15" s="562"/>
      <c r="L15" s="562"/>
      <c r="M15" s="562"/>
      <c r="N15" s="562"/>
      <c r="O15" s="177">
        <f>Össz.önkor.mérleg.!E24</f>
        <v>19400</v>
      </c>
      <c r="P15" s="30"/>
    </row>
    <row r="16" spans="1:33" s="27" customFormat="1" ht="15" customHeight="1" x14ac:dyDescent="0.25">
      <c r="A16" s="20" t="s">
        <v>531</v>
      </c>
      <c r="B16" s="27" t="s">
        <v>647</v>
      </c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7">
        <v>0</v>
      </c>
      <c r="P16" s="30"/>
    </row>
    <row r="17" spans="1:256" s="27" customFormat="1" ht="16.5" customHeight="1" x14ac:dyDescent="0.25">
      <c r="A17" s="20" t="s">
        <v>532</v>
      </c>
      <c r="B17" s="27" t="s">
        <v>566</v>
      </c>
      <c r="C17" s="175">
        <f>O17/12</f>
        <v>239.16666666666666</v>
      </c>
      <c r="D17" s="175">
        <f>C17</f>
        <v>239.16666666666666</v>
      </c>
      <c r="E17" s="175">
        <f t="shared" ref="E17:N17" si="6">D17</f>
        <v>239.16666666666666</v>
      </c>
      <c r="F17" s="175">
        <f t="shared" si="6"/>
        <v>239.16666666666666</v>
      </c>
      <c r="G17" s="175">
        <f t="shared" si="6"/>
        <v>239.16666666666666</v>
      </c>
      <c r="H17" s="175">
        <f t="shared" si="6"/>
        <v>239.16666666666666</v>
      </c>
      <c r="I17" s="175">
        <f t="shared" si="6"/>
        <v>239.16666666666666</v>
      </c>
      <c r="J17" s="175">
        <f t="shared" si="6"/>
        <v>239.16666666666666</v>
      </c>
      <c r="K17" s="175">
        <f t="shared" si="6"/>
        <v>239.16666666666666</v>
      </c>
      <c r="L17" s="175">
        <f t="shared" si="6"/>
        <v>239.16666666666666</v>
      </c>
      <c r="M17" s="175">
        <f t="shared" si="6"/>
        <v>239.16666666666666</v>
      </c>
      <c r="N17" s="175">
        <f t="shared" si="6"/>
        <v>239.16666666666666</v>
      </c>
      <c r="O17" s="177">
        <f>Össz.önkor.mérleg.!E30</f>
        <v>2870</v>
      </c>
      <c r="P17" s="30"/>
    </row>
    <row r="18" spans="1:256" s="28" customFormat="1" ht="15" customHeight="1" x14ac:dyDescent="0.25">
      <c r="A18" s="20" t="s">
        <v>533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7">
        <f t="shared" si="4"/>
        <v>0</v>
      </c>
      <c r="P18" s="30"/>
    </row>
    <row r="19" spans="1:256" s="33" customFormat="1" ht="16.5" customHeight="1" x14ac:dyDescent="0.25">
      <c r="A19" s="20" t="s">
        <v>534</v>
      </c>
      <c r="B19" s="609" t="s">
        <v>622</v>
      </c>
      <c r="C19" s="610">
        <f>SUM(C15:C18)</f>
        <v>239.16666666666666</v>
      </c>
      <c r="D19" s="610">
        <f>SUM(D15:D18)</f>
        <v>239.16666666666666</v>
      </c>
      <c r="E19" s="610">
        <f>SUM(E15:E18)</f>
        <v>239.16666666666666</v>
      </c>
      <c r="F19" s="610">
        <f t="shared" ref="F19:M19" si="7">SUM(F15:F18)</f>
        <v>239.16666666666666</v>
      </c>
      <c r="G19" s="610">
        <f t="shared" si="7"/>
        <v>239.16666666666666</v>
      </c>
      <c r="H19" s="610">
        <f t="shared" si="7"/>
        <v>239.16666666666666</v>
      </c>
      <c r="I19" s="610">
        <f t="shared" si="7"/>
        <v>239.16666666666666</v>
      </c>
      <c r="J19" s="610">
        <f t="shared" si="7"/>
        <v>239.16666666666666</v>
      </c>
      <c r="K19" s="610">
        <f t="shared" si="7"/>
        <v>239.16666666666666</v>
      </c>
      <c r="L19" s="610">
        <f t="shared" si="7"/>
        <v>239.16666666666666</v>
      </c>
      <c r="M19" s="610">
        <f t="shared" si="7"/>
        <v>239.16666666666666</v>
      </c>
      <c r="N19" s="610">
        <f>SUM(N15:N18)</f>
        <v>239.16666666666666</v>
      </c>
      <c r="O19" s="611">
        <f>SUM(O15:O18)</f>
        <v>22270</v>
      </c>
      <c r="P19" s="32"/>
    </row>
    <row r="20" spans="1:256" s="29" customFormat="1" ht="16.5" customHeight="1" x14ac:dyDescent="0.25">
      <c r="A20" s="20" t="s">
        <v>535</v>
      </c>
      <c r="B20" s="33" t="s">
        <v>648</v>
      </c>
      <c r="C20" s="178"/>
      <c r="D20" s="178"/>
      <c r="E20" s="178"/>
      <c r="F20" s="178"/>
      <c r="G20" s="178"/>
      <c r="H20" s="176"/>
      <c r="I20" s="176"/>
      <c r="J20" s="176"/>
      <c r="K20" s="176"/>
      <c r="L20" s="176"/>
      <c r="M20" s="176"/>
      <c r="N20" s="176"/>
      <c r="O20" s="177">
        <f>SUM(C20:N20)</f>
        <v>0</v>
      </c>
      <c r="P20" s="31"/>
    </row>
    <row r="21" spans="1:256" s="27" customFormat="1" ht="15.75" customHeight="1" x14ac:dyDescent="0.25">
      <c r="A21" s="20" t="s">
        <v>536</v>
      </c>
      <c r="B21" s="28" t="s">
        <v>461</v>
      </c>
      <c r="C21" s="176">
        <f>O21/12</f>
        <v>105591.58333333333</v>
      </c>
      <c r="D21" s="176">
        <f>C21</f>
        <v>105591.58333333333</v>
      </c>
      <c r="E21" s="176">
        <f t="shared" ref="E21:N21" si="8">D21</f>
        <v>105591.58333333333</v>
      </c>
      <c r="F21" s="176">
        <f t="shared" si="8"/>
        <v>105591.58333333333</v>
      </c>
      <c r="G21" s="176">
        <f t="shared" si="8"/>
        <v>105591.58333333333</v>
      </c>
      <c r="H21" s="176">
        <f t="shared" si="8"/>
        <v>105591.58333333333</v>
      </c>
      <c r="I21" s="176">
        <f t="shared" si="8"/>
        <v>105591.58333333333</v>
      </c>
      <c r="J21" s="176">
        <f t="shared" si="8"/>
        <v>105591.58333333333</v>
      </c>
      <c r="K21" s="176">
        <f t="shared" si="8"/>
        <v>105591.58333333333</v>
      </c>
      <c r="L21" s="176">
        <f t="shared" si="8"/>
        <v>105591.58333333333</v>
      </c>
      <c r="M21" s="176">
        <f t="shared" si="8"/>
        <v>105591.58333333333</v>
      </c>
      <c r="N21" s="176">
        <f t="shared" si="8"/>
        <v>105591.58333333333</v>
      </c>
      <c r="O21" s="177">
        <f>Össz.önkor.mérleg.!E54</f>
        <v>1267099</v>
      </c>
      <c r="P21" s="30"/>
    </row>
    <row r="22" spans="1:256" s="29" customFormat="1" ht="16.5" customHeight="1" x14ac:dyDescent="0.25">
      <c r="A22" s="20" t="s">
        <v>537</v>
      </c>
      <c r="B22" s="563" t="s">
        <v>623</v>
      </c>
      <c r="C22" s="564">
        <f t="shared" ref="C22:N22" si="9">C19+C14+C20+C21</f>
        <v>338302.08333333331</v>
      </c>
      <c r="D22" s="564">
        <f t="shared" si="9"/>
        <v>338302.08333333331</v>
      </c>
      <c r="E22" s="564">
        <f t="shared" si="9"/>
        <v>338302.08333333331</v>
      </c>
      <c r="F22" s="564">
        <f t="shared" si="9"/>
        <v>338302.08333333331</v>
      </c>
      <c r="G22" s="564">
        <f t="shared" si="9"/>
        <v>338302.08333333331</v>
      </c>
      <c r="H22" s="564">
        <f t="shared" si="9"/>
        <v>338302.08333333331</v>
      </c>
      <c r="I22" s="564">
        <f t="shared" si="9"/>
        <v>338302.08333333331</v>
      </c>
      <c r="J22" s="564">
        <f t="shared" si="9"/>
        <v>338302.08333333331</v>
      </c>
      <c r="K22" s="564">
        <f t="shared" si="9"/>
        <v>338302.08333333331</v>
      </c>
      <c r="L22" s="564">
        <f t="shared" si="9"/>
        <v>338302.08333333331</v>
      </c>
      <c r="M22" s="564">
        <f t="shared" si="9"/>
        <v>338302.08333333331</v>
      </c>
      <c r="N22" s="564">
        <f t="shared" si="9"/>
        <v>338302.08333333331</v>
      </c>
      <c r="O22" s="565">
        <f>O14+O21+O19</f>
        <v>4079025</v>
      </c>
      <c r="P22" s="31"/>
    </row>
    <row r="23" spans="1:256" s="14" customFormat="1" ht="15" customHeight="1" x14ac:dyDescent="0.25">
      <c r="A23" s="20" t="s">
        <v>538</v>
      </c>
      <c r="B23" s="29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7"/>
    </row>
    <row r="24" spans="1:256" s="29" customFormat="1" ht="12.75" customHeight="1" x14ac:dyDescent="0.25">
      <c r="A24" s="20" t="s">
        <v>540</v>
      </c>
      <c r="B24" s="29" t="s">
        <v>65</v>
      </c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  <c r="O24" s="177"/>
    </row>
    <row r="25" spans="1:256" s="27" customFormat="1" ht="15.75" customHeight="1" x14ac:dyDescent="0.25">
      <c r="A25" s="20" t="s">
        <v>541</v>
      </c>
      <c r="B25" s="27" t="s">
        <v>462</v>
      </c>
      <c r="C25" s="175">
        <f t="shared" ref="C25:C32" si="10">O25/12</f>
        <v>80478.083333333328</v>
      </c>
      <c r="D25" s="175">
        <f>C25</f>
        <v>80478.083333333328</v>
      </c>
      <c r="E25" s="175">
        <f t="shared" ref="E25:N25" si="11">D25</f>
        <v>80478.083333333328</v>
      </c>
      <c r="F25" s="175">
        <f t="shared" si="11"/>
        <v>80478.083333333328</v>
      </c>
      <c r="G25" s="175">
        <f t="shared" si="11"/>
        <v>80478.083333333328</v>
      </c>
      <c r="H25" s="175">
        <f t="shared" si="11"/>
        <v>80478.083333333328</v>
      </c>
      <c r="I25" s="175">
        <f t="shared" si="11"/>
        <v>80478.083333333328</v>
      </c>
      <c r="J25" s="175">
        <f t="shared" si="11"/>
        <v>80478.083333333328</v>
      </c>
      <c r="K25" s="175">
        <f t="shared" si="11"/>
        <v>80478.083333333328</v>
      </c>
      <c r="L25" s="175">
        <f t="shared" si="11"/>
        <v>80478.083333333328</v>
      </c>
      <c r="M25" s="175">
        <f t="shared" si="11"/>
        <v>80478.083333333328</v>
      </c>
      <c r="N25" s="175">
        <f t="shared" si="11"/>
        <v>80478.083333333328</v>
      </c>
      <c r="O25" s="177">
        <f>Össz.önkor.mérleg.!N10</f>
        <v>965737</v>
      </c>
      <c r="P25" s="30"/>
    </row>
    <row r="26" spans="1:256" s="27" customFormat="1" ht="17.25" customHeight="1" x14ac:dyDescent="0.25">
      <c r="A26" s="20" t="s">
        <v>542</v>
      </c>
      <c r="B26" s="27" t="s">
        <v>463</v>
      </c>
      <c r="C26" s="175">
        <f t="shared" si="10"/>
        <v>17070.75</v>
      </c>
      <c r="D26" s="175">
        <f t="shared" ref="D26:N32" si="12">C26</f>
        <v>17070.75</v>
      </c>
      <c r="E26" s="175">
        <f t="shared" si="12"/>
        <v>17070.75</v>
      </c>
      <c r="F26" s="175">
        <f t="shared" si="12"/>
        <v>17070.75</v>
      </c>
      <c r="G26" s="175">
        <f t="shared" si="12"/>
        <v>17070.75</v>
      </c>
      <c r="H26" s="175">
        <f t="shared" si="12"/>
        <v>17070.75</v>
      </c>
      <c r="I26" s="175">
        <f t="shared" si="12"/>
        <v>17070.75</v>
      </c>
      <c r="J26" s="175">
        <f t="shared" si="12"/>
        <v>17070.75</v>
      </c>
      <c r="K26" s="175">
        <f t="shared" si="12"/>
        <v>17070.75</v>
      </c>
      <c r="L26" s="175">
        <f t="shared" si="12"/>
        <v>17070.75</v>
      </c>
      <c r="M26" s="175">
        <f t="shared" si="12"/>
        <v>17070.75</v>
      </c>
      <c r="N26" s="175">
        <f t="shared" si="12"/>
        <v>17070.75</v>
      </c>
      <c r="O26" s="177">
        <f>Össz.önkor.mérleg.!N11</f>
        <v>204849</v>
      </c>
      <c r="P26" s="30"/>
    </row>
    <row r="27" spans="1:256" s="27" customFormat="1" ht="13.5" customHeight="1" x14ac:dyDescent="0.25">
      <c r="A27" s="20" t="s">
        <v>543</v>
      </c>
      <c r="B27" s="27" t="s">
        <v>464</v>
      </c>
      <c r="C27" s="175">
        <f t="shared" si="10"/>
        <v>90714.333333333328</v>
      </c>
      <c r="D27" s="175">
        <f t="shared" si="12"/>
        <v>90714.333333333328</v>
      </c>
      <c r="E27" s="175">
        <f t="shared" si="12"/>
        <v>90714.333333333328</v>
      </c>
      <c r="F27" s="175">
        <f t="shared" si="12"/>
        <v>90714.333333333328</v>
      </c>
      <c r="G27" s="175">
        <f t="shared" si="12"/>
        <v>90714.333333333328</v>
      </c>
      <c r="H27" s="175">
        <f t="shared" si="12"/>
        <v>90714.333333333328</v>
      </c>
      <c r="I27" s="175">
        <f t="shared" si="12"/>
        <v>90714.333333333328</v>
      </c>
      <c r="J27" s="175">
        <f t="shared" si="12"/>
        <v>90714.333333333328</v>
      </c>
      <c r="K27" s="175">
        <f t="shared" si="12"/>
        <v>90714.333333333328</v>
      </c>
      <c r="L27" s="175">
        <f t="shared" si="12"/>
        <v>90714.333333333328</v>
      </c>
      <c r="M27" s="175">
        <f t="shared" si="12"/>
        <v>90714.333333333328</v>
      </c>
      <c r="N27" s="175">
        <f t="shared" si="12"/>
        <v>90714.333333333328</v>
      </c>
      <c r="O27" s="177">
        <f>Össz.önkor.mérleg.!N12</f>
        <v>1088572</v>
      </c>
      <c r="P27" s="30"/>
    </row>
    <row r="28" spans="1:256" s="27" customFormat="1" ht="15" customHeight="1" x14ac:dyDescent="0.25">
      <c r="A28" s="20" t="s">
        <v>544</v>
      </c>
      <c r="B28" s="27" t="s">
        <v>624</v>
      </c>
      <c r="C28" s="175">
        <f t="shared" si="10"/>
        <v>1165.75</v>
      </c>
      <c r="D28" s="175">
        <f t="shared" si="12"/>
        <v>1165.75</v>
      </c>
      <c r="E28" s="175">
        <f t="shared" si="12"/>
        <v>1165.75</v>
      </c>
      <c r="F28" s="175">
        <f t="shared" si="12"/>
        <v>1165.75</v>
      </c>
      <c r="G28" s="175">
        <f t="shared" si="12"/>
        <v>1165.75</v>
      </c>
      <c r="H28" s="175">
        <f t="shared" si="12"/>
        <v>1165.75</v>
      </c>
      <c r="I28" s="175">
        <f t="shared" si="12"/>
        <v>1165.75</v>
      </c>
      <c r="J28" s="175">
        <f t="shared" si="12"/>
        <v>1165.75</v>
      </c>
      <c r="K28" s="175">
        <f t="shared" si="12"/>
        <v>1165.75</v>
      </c>
      <c r="L28" s="175">
        <f t="shared" si="12"/>
        <v>1165.75</v>
      </c>
      <c r="M28" s="175">
        <f t="shared" si="12"/>
        <v>1165.75</v>
      </c>
      <c r="N28" s="175">
        <f t="shared" si="12"/>
        <v>1165.75</v>
      </c>
      <c r="O28" s="177">
        <f>Össz.önkor.mérleg.!N14</f>
        <v>13989</v>
      </c>
      <c r="P28" s="30"/>
      <c r="IV28" s="30"/>
    </row>
    <row r="29" spans="1:256" s="27" customFormat="1" ht="15" customHeight="1" x14ac:dyDescent="0.25">
      <c r="A29" s="20" t="s">
        <v>545</v>
      </c>
      <c r="B29" s="27" t="s">
        <v>267</v>
      </c>
      <c r="C29" s="175">
        <v>38</v>
      </c>
      <c r="D29" s="175">
        <f t="shared" si="12"/>
        <v>38</v>
      </c>
      <c r="E29" s="175">
        <f t="shared" si="12"/>
        <v>38</v>
      </c>
      <c r="F29" s="175">
        <f t="shared" si="12"/>
        <v>38</v>
      </c>
      <c r="G29" s="175">
        <f t="shared" si="12"/>
        <v>38</v>
      </c>
      <c r="H29" s="175">
        <f t="shared" si="12"/>
        <v>38</v>
      </c>
      <c r="I29" s="175">
        <f t="shared" si="12"/>
        <v>38</v>
      </c>
      <c r="J29" s="175">
        <f t="shared" si="12"/>
        <v>38</v>
      </c>
      <c r="K29" s="175">
        <f t="shared" si="12"/>
        <v>38</v>
      </c>
      <c r="L29" s="175">
        <f t="shared" si="12"/>
        <v>38</v>
      </c>
      <c r="M29" s="175">
        <f t="shared" si="12"/>
        <v>38</v>
      </c>
      <c r="N29" s="175">
        <f t="shared" si="12"/>
        <v>38</v>
      </c>
      <c r="O29" s="177">
        <f>Össz.önkor.mérleg.!N19</f>
        <v>0</v>
      </c>
      <c r="P29" s="30"/>
    </row>
    <row r="30" spans="1:256" s="27" customFormat="1" ht="12.75" customHeight="1" x14ac:dyDescent="0.25">
      <c r="A30" s="20" t="s">
        <v>546</v>
      </c>
      <c r="B30" s="27" t="s">
        <v>465</v>
      </c>
      <c r="C30" s="175">
        <v>3993</v>
      </c>
      <c r="D30" s="175">
        <f t="shared" si="12"/>
        <v>3993</v>
      </c>
      <c r="E30" s="175">
        <f t="shared" si="12"/>
        <v>3993</v>
      </c>
      <c r="F30" s="175">
        <f t="shared" si="12"/>
        <v>3993</v>
      </c>
      <c r="G30" s="175">
        <f t="shared" si="12"/>
        <v>3993</v>
      </c>
      <c r="H30" s="175">
        <f t="shared" si="12"/>
        <v>3993</v>
      </c>
      <c r="I30" s="175">
        <f t="shared" si="12"/>
        <v>3993</v>
      </c>
      <c r="J30" s="175">
        <f t="shared" si="12"/>
        <v>3993</v>
      </c>
      <c r="K30" s="175">
        <f t="shared" si="12"/>
        <v>3993</v>
      </c>
      <c r="L30" s="175">
        <f t="shared" si="12"/>
        <v>3993</v>
      </c>
      <c r="M30" s="175">
        <f t="shared" si="12"/>
        <v>3993</v>
      </c>
      <c r="N30" s="175">
        <f t="shared" si="12"/>
        <v>3993</v>
      </c>
      <c r="O30" s="177">
        <f>Össz.önkor.mérleg.!N17</f>
        <v>59585</v>
      </c>
      <c r="P30" s="30"/>
    </row>
    <row r="31" spans="1:256" s="27" customFormat="1" ht="15.75" customHeight="1" x14ac:dyDescent="0.25">
      <c r="A31" s="20" t="s">
        <v>547</v>
      </c>
      <c r="B31" s="27" t="s">
        <v>466</v>
      </c>
      <c r="C31" s="175">
        <f t="shared" si="10"/>
        <v>24367.833333333332</v>
      </c>
      <c r="D31" s="175">
        <f t="shared" si="12"/>
        <v>24367.833333333332</v>
      </c>
      <c r="E31" s="175">
        <f t="shared" si="12"/>
        <v>24367.833333333332</v>
      </c>
      <c r="F31" s="175">
        <f t="shared" si="12"/>
        <v>24367.833333333332</v>
      </c>
      <c r="G31" s="175">
        <f t="shared" si="12"/>
        <v>24367.833333333332</v>
      </c>
      <c r="H31" s="175">
        <f t="shared" si="12"/>
        <v>24367.833333333332</v>
      </c>
      <c r="I31" s="175">
        <f t="shared" si="12"/>
        <v>24367.833333333332</v>
      </c>
      <c r="J31" s="175">
        <f t="shared" si="12"/>
        <v>24367.833333333332</v>
      </c>
      <c r="K31" s="175">
        <f t="shared" si="12"/>
        <v>24367.833333333332</v>
      </c>
      <c r="L31" s="175">
        <f t="shared" si="12"/>
        <v>24367.833333333332</v>
      </c>
      <c r="M31" s="175">
        <f t="shared" si="12"/>
        <v>24367.833333333332</v>
      </c>
      <c r="N31" s="175">
        <f t="shared" si="12"/>
        <v>24367.833333333332</v>
      </c>
      <c r="O31" s="177">
        <f>Össz.önkor.mérleg.!N18</f>
        <v>292414</v>
      </c>
      <c r="P31" s="30"/>
    </row>
    <row r="32" spans="1:256" s="27" customFormat="1" ht="15" customHeight="1" x14ac:dyDescent="0.25">
      <c r="A32" s="20" t="s">
        <v>567</v>
      </c>
      <c r="B32" s="27" t="s">
        <v>652</v>
      </c>
      <c r="C32" s="175">
        <f t="shared" si="10"/>
        <v>9148.1666666666661</v>
      </c>
      <c r="D32" s="175">
        <f t="shared" si="12"/>
        <v>9148.1666666666661</v>
      </c>
      <c r="E32" s="175">
        <f t="shared" si="12"/>
        <v>9148.1666666666661</v>
      </c>
      <c r="F32" s="175">
        <f t="shared" si="12"/>
        <v>9148.1666666666661</v>
      </c>
      <c r="G32" s="175">
        <f t="shared" si="12"/>
        <v>9148.1666666666661</v>
      </c>
      <c r="H32" s="175">
        <f t="shared" si="12"/>
        <v>9148.1666666666661</v>
      </c>
      <c r="I32" s="175">
        <f t="shared" si="12"/>
        <v>9148.1666666666661</v>
      </c>
      <c r="J32" s="175">
        <f t="shared" si="12"/>
        <v>9148.1666666666661</v>
      </c>
      <c r="K32" s="175">
        <f t="shared" si="12"/>
        <v>9148.1666666666661</v>
      </c>
      <c r="L32" s="175">
        <f t="shared" si="12"/>
        <v>9148.1666666666661</v>
      </c>
      <c r="M32" s="175">
        <f t="shared" si="12"/>
        <v>9148.1666666666661</v>
      </c>
      <c r="N32" s="175">
        <f t="shared" si="12"/>
        <v>9148.1666666666661</v>
      </c>
      <c r="O32" s="177">
        <f>Össz.önkor.mérleg.!N20+Össz.önkor.mérleg.!N21</f>
        <v>109778</v>
      </c>
      <c r="P32" s="30"/>
    </row>
    <row r="33" spans="1:16" s="28" customFormat="1" ht="15.75" customHeight="1" x14ac:dyDescent="0.25">
      <c r="A33" s="20" t="s">
        <v>568</v>
      </c>
      <c r="B33" s="612" t="s">
        <v>625</v>
      </c>
      <c r="C33" s="610">
        <f>SUM(C25:C32)</f>
        <v>226975.91666666666</v>
      </c>
      <c r="D33" s="610">
        <f>SUM(D25:D32)</f>
        <v>226975.91666666666</v>
      </c>
      <c r="E33" s="610">
        <f t="shared" ref="E33:N33" si="13">SUM(E25:E32)</f>
        <v>226975.91666666666</v>
      </c>
      <c r="F33" s="610">
        <f t="shared" si="13"/>
        <v>226975.91666666666</v>
      </c>
      <c r="G33" s="610">
        <f t="shared" si="13"/>
        <v>226975.91666666666</v>
      </c>
      <c r="H33" s="610">
        <f t="shared" si="13"/>
        <v>226975.91666666666</v>
      </c>
      <c r="I33" s="610">
        <f t="shared" si="13"/>
        <v>226975.91666666666</v>
      </c>
      <c r="J33" s="610">
        <f t="shared" si="13"/>
        <v>226975.91666666666</v>
      </c>
      <c r="K33" s="610">
        <f t="shared" si="13"/>
        <v>226975.91666666666</v>
      </c>
      <c r="L33" s="610">
        <f t="shared" si="13"/>
        <v>226975.91666666666</v>
      </c>
      <c r="M33" s="610">
        <f t="shared" si="13"/>
        <v>226975.91666666666</v>
      </c>
      <c r="N33" s="610">
        <f t="shared" si="13"/>
        <v>226975.91666666666</v>
      </c>
      <c r="O33" s="611">
        <f>SUM(O25:O32)</f>
        <v>2734924</v>
      </c>
      <c r="P33" s="417"/>
    </row>
    <row r="34" spans="1:16" s="28" customFormat="1" ht="15" customHeight="1" x14ac:dyDescent="0.25">
      <c r="A34" s="20" t="s">
        <v>569</v>
      </c>
      <c r="B34" s="28" t="s">
        <v>626</v>
      </c>
      <c r="C34" s="176">
        <f t="shared" ref="C34:C39" si="14">O34/12</f>
        <v>95290.666666666672</v>
      </c>
      <c r="D34" s="176">
        <f>C34</f>
        <v>95290.666666666672</v>
      </c>
      <c r="E34" s="176">
        <f t="shared" ref="E34:N34" si="15">D34</f>
        <v>95290.666666666672</v>
      </c>
      <c r="F34" s="176">
        <f t="shared" si="15"/>
        <v>95290.666666666672</v>
      </c>
      <c r="G34" s="176">
        <f t="shared" si="15"/>
        <v>95290.666666666672</v>
      </c>
      <c r="H34" s="176">
        <f t="shared" si="15"/>
        <v>95290.666666666672</v>
      </c>
      <c r="I34" s="176">
        <f t="shared" si="15"/>
        <v>95290.666666666672</v>
      </c>
      <c r="J34" s="176">
        <f t="shared" si="15"/>
        <v>95290.666666666672</v>
      </c>
      <c r="K34" s="176">
        <f t="shared" si="15"/>
        <v>95290.666666666672</v>
      </c>
      <c r="L34" s="176">
        <f t="shared" si="15"/>
        <v>95290.666666666672</v>
      </c>
      <c r="M34" s="176">
        <f t="shared" si="15"/>
        <v>95290.666666666672</v>
      </c>
      <c r="N34" s="176">
        <f t="shared" si="15"/>
        <v>95290.666666666672</v>
      </c>
      <c r="O34" s="178">
        <f>Össz.önkor.mérleg.!N27</f>
        <v>1143488</v>
      </c>
      <c r="P34" s="417"/>
    </row>
    <row r="35" spans="1:16" s="28" customFormat="1" ht="15" customHeight="1" x14ac:dyDescent="0.25">
      <c r="A35" s="20" t="s">
        <v>570</v>
      </c>
      <c r="B35" s="28" t="s">
        <v>484</v>
      </c>
      <c r="C35" s="176">
        <f t="shared" si="14"/>
        <v>0</v>
      </c>
      <c r="D35" s="176">
        <f t="shared" ref="D35:N39" si="16">C35</f>
        <v>0</v>
      </c>
      <c r="E35" s="176">
        <f t="shared" si="16"/>
        <v>0</v>
      </c>
      <c r="F35" s="176">
        <f t="shared" si="16"/>
        <v>0</v>
      </c>
      <c r="G35" s="176">
        <f t="shared" si="16"/>
        <v>0</v>
      </c>
      <c r="H35" s="176">
        <f t="shared" si="16"/>
        <v>0</v>
      </c>
      <c r="I35" s="176">
        <f t="shared" si="16"/>
        <v>0</v>
      </c>
      <c r="J35" s="176">
        <f t="shared" si="16"/>
        <v>0</v>
      </c>
      <c r="K35" s="176">
        <f t="shared" si="16"/>
        <v>0</v>
      </c>
      <c r="L35" s="176">
        <f t="shared" si="16"/>
        <v>0</v>
      </c>
      <c r="M35" s="176">
        <f t="shared" si="16"/>
        <v>0</v>
      </c>
      <c r="N35" s="176">
        <f t="shared" si="16"/>
        <v>0</v>
      </c>
      <c r="O35" s="178">
        <f>Össz.önkor.mérleg.!N28</f>
        <v>0</v>
      </c>
      <c r="P35" s="417"/>
    </row>
    <row r="36" spans="1:16" s="28" customFormat="1" ht="15.75" customHeight="1" x14ac:dyDescent="0.25">
      <c r="A36" s="20" t="s">
        <v>571</v>
      </c>
      <c r="B36" s="28" t="s">
        <v>467</v>
      </c>
      <c r="C36" s="176">
        <f t="shared" si="14"/>
        <v>416.66666666666669</v>
      </c>
      <c r="D36" s="176">
        <f t="shared" si="16"/>
        <v>416.66666666666669</v>
      </c>
      <c r="E36" s="176">
        <f t="shared" si="16"/>
        <v>416.66666666666669</v>
      </c>
      <c r="F36" s="176">
        <f t="shared" si="16"/>
        <v>416.66666666666669</v>
      </c>
      <c r="G36" s="176">
        <f t="shared" si="16"/>
        <v>416.66666666666669</v>
      </c>
      <c r="H36" s="176">
        <f t="shared" si="16"/>
        <v>416.66666666666669</v>
      </c>
      <c r="I36" s="176">
        <f t="shared" si="16"/>
        <v>416.66666666666669</v>
      </c>
      <c r="J36" s="176">
        <f t="shared" si="16"/>
        <v>416.66666666666669</v>
      </c>
      <c r="K36" s="176">
        <f t="shared" si="16"/>
        <v>416.66666666666669</v>
      </c>
      <c r="L36" s="176">
        <f t="shared" si="16"/>
        <v>416.66666666666669</v>
      </c>
      <c r="M36" s="176">
        <f t="shared" si="16"/>
        <v>416.66666666666669</v>
      </c>
      <c r="N36" s="176">
        <f t="shared" si="16"/>
        <v>416.66666666666669</v>
      </c>
      <c r="O36" s="178">
        <v>5000</v>
      </c>
    </row>
    <row r="37" spans="1:16" s="28" customFormat="1" ht="15.75" customHeight="1" x14ac:dyDescent="0.25">
      <c r="A37" s="20" t="s">
        <v>572</v>
      </c>
      <c r="B37" s="27" t="s">
        <v>650</v>
      </c>
      <c r="C37" s="176">
        <f t="shared" si="14"/>
        <v>0</v>
      </c>
      <c r="D37" s="176">
        <f t="shared" si="16"/>
        <v>0</v>
      </c>
      <c r="E37" s="176">
        <f t="shared" si="16"/>
        <v>0</v>
      </c>
      <c r="F37" s="176">
        <f t="shared" si="16"/>
        <v>0</v>
      </c>
      <c r="G37" s="176">
        <f t="shared" si="16"/>
        <v>0</v>
      </c>
      <c r="H37" s="176">
        <f t="shared" si="16"/>
        <v>0</v>
      </c>
      <c r="I37" s="176">
        <f t="shared" si="16"/>
        <v>0</v>
      </c>
      <c r="J37" s="176">
        <f t="shared" si="16"/>
        <v>0</v>
      </c>
      <c r="K37" s="176">
        <f t="shared" si="16"/>
        <v>0</v>
      </c>
      <c r="L37" s="176">
        <f t="shared" si="16"/>
        <v>0</v>
      </c>
      <c r="M37" s="176">
        <f t="shared" si="16"/>
        <v>0</v>
      </c>
      <c r="N37" s="176">
        <f t="shared" si="16"/>
        <v>0</v>
      </c>
      <c r="O37" s="178">
        <f>Össz.önkor.mérleg.!N30</f>
        <v>0</v>
      </c>
    </row>
    <row r="38" spans="1:16" s="28" customFormat="1" ht="16.5" customHeight="1" x14ac:dyDescent="0.25">
      <c r="A38" s="20" t="s">
        <v>573</v>
      </c>
      <c r="B38" s="27" t="s">
        <v>651</v>
      </c>
      <c r="C38" s="176">
        <f t="shared" si="14"/>
        <v>4340.916666666667</v>
      </c>
      <c r="D38" s="176">
        <f t="shared" si="16"/>
        <v>4340.916666666667</v>
      </c>
      <c r="E38" s="176">
        <f t="shared" si="16"/>
        <v>4340.916666666667</v>
      </c>
      <c r="F38" s="176">
        <f t="shared" si="16"/>
        <v>4340.916666666667</v>
      </c>
      <c r="G38" s="176">
        <f t="shared" si="16"/>
        <v>4340.916666666667</v>
      </c>
      <c r="H38" s="176">
        <f t="shared" si="16"/>
        <v>4340.916666666667</v>
      </c>
      <c r="I38" s="176">
        <f t="shared" si="16"/>
        <v>4340.916666666667</v>
      </c>
      <c r="J38" s="176">
        <f t="shared" si="16"/>
        <v>4340.916666666667</v>
      </c>
      <c r="K38" s="176">
        <f t="shared" si="16"/>
        <v>4340.916666666667</v>
      </c>
      <c r="L38" s="176">
        <f t="shared" si="16"/>
        <v>4340.916666666667</v>
      </c>
      <c r="M38" s="176">
        <f t="shared" si="16"/>
        <v>4340.916666666667</v>
      </c>
      <c r="N38" s="176">
        <f t="shared" si="16"/>
        <v>4340.916666666667</v>
      </c>
      <c r="O38" s="178">
        <f>Össz.önkor.mérleg.!N32</f>
        <v>52091</v>
      </c>
      <c r="P38" s="417"/>
    </row>
    <row r="39" spans="1:16" s="28" customFormat="1" ht="15" customHeight="1" x14ac:dyDescent="0.25">
      <c r="A39" s="20" t="s">
        <v>574</v>
      </c>
      <c r="B39" s="27" t="s">
        <v>653</v>
      </c>
      <c r="C39" s="176">
        <f t="shared" si="14"/>
        <v>9053.75</v>
      </c>
      <c r="D39" s="176">
        <f t="shared" si="16"/>
        <v>9053.75</v>
      </c>
      <c r="E39" s="176">
        <f t="shared" si="16"/>
        <v>9053.75</v>
      </c>
      <c r="F39" s="176">
        <f t="shared" si="16"/>
        <v>9053.75</v>
      </c>
      <c r="G39" s="176">
        <f t="shared" si="16"/>
        <v>9053.75</v>
      </c>
      <c r="H39" s="176">
        <f t="shared" si="16"/>
        <v>9053.75</v>
      </c>
      <c r="I39" s="176">
        <f t="shared" si="16"/>
        <v>9053.75</v>
      </c>
      <c r="J39" s="176">
        <f t="shared" si="16"/>
        <v>9053.75</v>
      </c>
      <c r="K39" s="176">
        <f t="shared" si="16"/>
        <v>9053.75</v>
      </c>
      <c r="L39" s="176">
        <f t="shared" si="16"/>
        <v>9053.75</v>
      </c>
      <c r="M39" s="176">
        <f t="shared" si="16"/>
        <v>9053.75</v>
      </c>
      <c r="N39" s="176">
        <f t="shared" si="16"/>
        <v>9053.75</v>
      </c>
      <c r="O39" s="178">
        <f>Össz.önkor.mérleg.!N33</f>
        <v>108645</v>
      </c>
      <c r="P39" s="417"/>
    </row>
    <row r="40" spans="1:16" s="33" customFormat="1" ht="15" customHeight="1" x14ac:dyDescent="0.25">
      <c r="A40" s="20" t="s">
        <v>575</v>
      </c>
      <c r="B40" s="559" t="s">
        <v>654</v>
      </c>
      <c r="C40" s="560">
        <f t="shared" ref="C40:O40" si="17">SUM(C34:C39)</f>
        <v>109102.00000000001</v>
      </c>
      <c r="D40" s="560">
        <f t="shared" si="17"/>
        <v>109102.00000000001</v>
      </c>
      <c r="E40" s="560">
        <f t="shared" si="17"/>
        <v>109102.00000000001</v>
      </c>
      <c r="F40" s="560">
        <f t="shared" si="17"/>
        <v>109102.00000000001</v>
      </c>
      <c r="G40" s="560">
        <f t="shared" si="17"/>
        <v>109102.00000000001</v>
      </c>
      <c r="H40" s="560">
        <f t="shared" si="17"/>
        <v>109102.00000000001</v>
      </c>
      <c r="I40" s="560">
        <f t="shared" si="17"/>
        <v>109102.00000000001</v>
      </c>
      <c r="J40" s="560">
        <f t="shared" si="17"/>
        <v>109102.00000000001</v>
      </c>
      <c r="K40" s="560">
        <f t="shared" si="17"/>
        <v>109102.00000000001</v>
      </c>
      <c r="L40" s="560">
        <f t="shared" si="17"/>
        <v>109102.00000000001</v>
      </c>
      <c r="M40" s="560">
        <f t="shared" si="17"/>
        <v>109102.00000000001</v>
      </c>
      <c r="N40" s="560">
        <f t="shared" si="17"/>
        <v>109102.00000000001</v>
      </c>
      <c r="O40" s="560">
        <f t="shared" si="17"/>
        <v>1309224</v>
      </c>
      <c r="P40" s="32"/>
    </row>
    <row r="41" spans="1:16" s="33" customFormat="1" ht="15" customHeight="1" x14ac:dyDescent="0.25">
      <c r="A41" s="20" t="s">
        <v>627</v>
      </c>
      <c r="B41" s="606" t="s">
        <v>1064</v>
      </c>
      <c r="C41" s="607">
        <f>O41/12</f>
        <v>2921.4166666666665</v>
      </c>
      <c r="D41" s="607">
        <f>C41</f>
        <v>2921.4166666666665</v>
      </c>
      <c r="E41" s="607">
        <f t="shared" ref="E41:N41" si="18">D41</f>
        <v>2921.4166666666665</v>
      </c>
      <c r="F41" s="607">
        <f t="shared" si="18"/>
        <v>2921.4166666666665</v>
      </c>
      <c r="G41" s="607">
        <f t="shared" si="18"/>
        <v>2921.4166666666665</v>
      </c>
      <c r="H41" s="607">
        <f t="shared" si="18"/>
        <v>2921.4166666666665</v>
      </c>
      <c r="I41" s="607">
        <f t="shared" si="18"/>
        <v>2921.4166666666665</v>
      </c>
      <c r="J41" s="607">
        <f t="shared" si="18"/>
        <v>2921.4166666666665</v>
      </c>
      <c r="K41" s="607">
        <f t="shared" si="18"/>
        <v>2921.4166666666665</v>
      </c>
      <c r="L41" s="607">
        <f t="shared" si="18"/>
        <v>2921.4166666666665</v>
      </c>
      <c r="M41" s="607">
        <f t="shared" si="18"/>
        <v>2921.4166666666665</v>
      </c>
      <c r="N41" s="607">
        <f t="shared" si="18"/>
        <v>2921.4166666666665</v>
      </c>
      <c r="O41" s="605">
        <f>Össz.önkor.mérleg.!N47</f>
        <v>35057</v>
      </c>
      <c r="P41" s="32"/>
    </row>
    <row r="42" spans="1:16" s="27" customFormat="1" ht="15.75" customHeight="1" x14ac:dyDescent="0.25">
      <c r="A42" s="20" t="s">
        <v>628</v>
      </c>
      <c r="B42" s="604" t="s">
        <v>1063</v>
      </c>
      <c r="C42" s="175">
        <f>SUM(C41)</f>
        <v>2921.4166666666665</v>
      </c>
      <c r="D42" s="175">
        <f>SUM(D41)</f>
        <v>2921.4166666666665</v>
      </c>
      <c r="E42" s="175">
        <f t="shared" ref="E42:N42" si="19">SUM(E41)</f>
        <v>2921.4166666666665</v>
      </c>
      <c r="F42" s="175">
        <f t="shared" si="19"/>
        <v>2921.4166666666665</v>
      </c>
      <c r="G42" s="175">
        <f t="shared" si="19"/>
        <v>2921.4166666666665</v>
      </c>
      <c r="H42" s="175">
        <f t="shared" si="19"/>
        <v>2921.4166666666665</v>
      </c>
      <c r="I42" s="175">
        <f t="shared" si="19"/>
        <v>2921.4166666666665</v>
      </c>
      <c r="J42" s="175">
        <f t="shared" si="19"/>
        <v>2921.4166666666665</v>
      </c>
      <c r="K42" s="175">
        <f t="shared" si="19"/>
        <v>2921.4166666666665</v>
      </c>
      <c r="L42" s="175">
        <f t="shared" si="19"/>
        <v>2921.4166666666665</v>
      </c>
      <c r="M42" s="175">
        <f t="shared" si="19"/>
        <v>2921.4166666666665</v>
      </c>
      <c r="N42" s="175">
        <f t="shared" si="19"/>
        <v>2921.4166666666665</v>
      </c>
      <c r="O42" s="177">
        <f>SUM(C42:N42)</f>
        <v>35057.000000000007</v>
      </c>
    </row>
    <row r="43" spans="1:16" s="29" customFormat="1" ht="16.5" customHeight="1" x14ac:dyDescent="0.25">
      <c r="A43" s="20" t="s">
        <v>629</v>
      </c>
      <c r="B43" s="563" t="s">
        <v>657</v>
      </c>
      <c r="C43" s="564">
        <f t="shared" ref="C43:N43" si="20">C40+C33+C42</f>
        <v>338999.33333333337</v>
      </c>
      <c r="D43" s="564">
        <f t="shared" si="20"/>
        <v>338999.33333333337</v>
      </c>
      <c r="E43" s="564">
        <f t="shared" si="20"/>
        <v>338999.33333333337</v>
      </c>
      <c r="F43" s="564">
        <f t="shared" si="20"/>
        <v>338999.33333333337</v>
      </c>
      <c r="G43" s="564">
        <f t="shared" si="20"/>
        <v>338999.33333333337</v>
      </c>
      <c r="H43" s="564">
        <f t="shared" si="20"/>
        <v>338999.33333333337</v>
      </c>
      <c r="I43" s="564">
        <f t="shared" si="20"/>
        <v>338999.33333333337</v>
      </c>
      <c r="J43" s="564">
        <f t="shared" si="20"/>
        <v>338999.33333333337</v>
      </c>
      <c r="K43" s="564">
        <f t="shared" si="20"/>
        <v>338999.33333333337</v>
      </c>
      <c r="L43" s="564">
        <f t="shared" si="20"/>
        <v>338999.33333333337</v>
      </c>
      <c r="M43" s="564">
        <f t="shared" si="20"/>
        <v>338999.33333333337</v>
      </c>
      <c r="N43" s="564">
        <f t="shared" si="20"/>
        <v>338999.33333333337</v>
      </c>
      <c r="O43" s="565">
        <f>O33+O40+O41</f>
        <v>4079205</v>
      </c>
      <c r="P43" s="31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IO110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sqref="A1:AE1"/>
    </sheetView>
  </sheetViews>
  <sheetFormatPr defaultColWidth="9.140625" defaultRowHeight="13.9" customHeight="1" x14ac:dyDescent="0.25"/>
  <cols>
    <col min="1" max="1" width="4.42578125" style="16" customWidth="1"/>
    <col min="2" max="2" width="38.85546875" style="21" customWidth="1"/>
    <col min="3" max="3" width="6.42578125" style="16" customWidth="1"/>
    <col min="4" max="4" width="5.5703125" style="16" customWidth="1"/>
    <col min="5" max="5" width="4.7109375" style="16" customWidth="1"/>
    <col min="6" max="6" width="5.42578125" style="16" customWidth="1"/>
    <col min="7" max="8" width="4" style="16" customWidth="1"/>
    <col min="9" max="9" width="5.85546875" style="16" customWidth="1"/>
    <col min="10" max="10" width="5.7109375" style="16" customWidth="1"/>
    <col min="11" max="11" width="4" style="16" customWidth="1"/>
    <col min="12" max="12" width="5.7109375" style="16" customWidth="1"/>
    <col min="13" max="14" width="7.28515625" style="16" customWidth="1"/>
    <col min="15" max="15" width="6.7109375" style="16" customWidth="1"/>
    <col min="16" max="17" width="5.140625" style="16" customWidth="1"/>
    <col min="18" max="18" width="5.7109375" style="16" customWidth="1"/>
    <col min="19" max="21" width="6.7109375" style="16" customWidth="1"/>
    <col min="22" max="22" width="6.42578125" style="16" customWidth="1"/>
    <col min="23" max="23" width="6.7109375" style="16" customWidth="1"/>
    <col min="24" max="25" width="6.85546875" style="16" customWidth="1"/>
    <col min="26" max="26" width="6.5703125" style="16" customWidth="1"/>
    <col min="27" max="29" width="7.140625" style="16" customWidth="1"/>
    <col min="30" max="30" width="6" style="16" customWidth="1"/>
    <col min="31" max="31" width="7.5703125" style="16" customWidth="1"/>
    <col min="32" max="16384" width="9.140625" style="15"/>
  </cols>
  <sheetData>
    <row r="1" spans="1:32" ht="15.75" customHeight="1" x14ac:dyDescent="0.25">
      <c r="A1" s="1663" t="s">
        <v>1335</v>
      </c>
      <c r="B1" s="1663"/>
      <c r="C1" s="1663"/>
      <c r="D1" s="1663"/>
      <c r="E1" s="1663"/>
      <c r="F1" s="1663"/>
      <c r="G1" s="1663"/>
      <c r="H1" s="1663"/>
      <c r="I1" s="1663"/>
      <c r="J1" s="1663"/>
      <c r="K1" s="1663"/>
      <c r="L1" s="1663"/>
      <c r="M1" s="1663"/>
      <c r="N1" s="1663"/>
      <c r="O1" s="1663"/>
      <c r="P1" s="1663"/>
      <c r="Q1" s="1663"/>
      <c r="R1" s="1663"/>
      <c r="S1" s="1663"/>
      <c r="T1" s="1663"/>
      <c r="U1" s="1663"/>
      <c r="V1" s="1663"/>
      <c r="W1" s="1663"/>
      <c r="X1" s="1663"/>
      <c r="Y1" s="1663"/>
      <c r="Z1" s="1663"/>
      <c r="AA1" s="1663"/>
      <c r="AB1" s="1663"/>
      <c r="AC1" s="1663"/>
      <c r="AD1" s="1663"/>
      <c r="AE1" s="1663"/>
    </row>
    <row r="2" spans="1:32" ht="15.75" customHeight="1" x14ac:dyDescent="0.25">
      <c r="A2" s="1667" t="s">
        <v>54</v>
      </c>
      <c r="B2" s="1667"/>
      <c r="C2" s="1667"/>
      <c r="D2" s="1667"/>
      <c r="E2" s="1667"/>
      <c r="F2" s="1667"/>
      <c r="G2" s="1667"/>
      <c r="H2" s="1667"/>
      <c r="I2" s="1667"/>
      <c r="J2" s="1667"/>
      <c r="K2" s="1667"/>
      <c r="L2" s="1667"/>
      <c r="M2" s="1667"/>
      <c r="N2" s="1667"/>
      <c r="O2" s="1667"/>
      <c r="P2" s="1667"/>
      <c r="Q2" s="1667"/>
      <c r="R2" s="1667"/>
      <c r="S2" s="1667"/>
      <c r="T2" s="1667"/>
      <c r="U2" s="1667"/>
      <c r="V2" s="1667"/>
      <c r="W2" s="1667"/>
      <c r="X2" s="1667"/>
      <c r="Y2" s="1667"/>
      <c r="Z2" s="1667"/>
      <c r="AA2" s="1667"/>
      <c r="AB2" s="1667"/>
      <c r="AC2" s="1667"/>
      <c r="AD2" s="1667"/>
      <c r="AE2" s="1667"/>
    </row>
    <row r="3" spans="1:32" ht="15.75" customHeight="1" x14ac:dyDescent="0.25">
      <c r="A3" s="1667" t="s">
        <v>1163</v>
      </c>
      <c r="B3" s="1667"/>
      <c r="C3" s="1667"/>
      <c r="D3" s="1667"/>
      <c r="E3" s="1667"/>
      <c r="F3" s="1667"/>
      <c r="G3" s="1667"/>
      <c r="H3" s="1667"/>
      <c r="I3" s="1667"/>
      <c r="J3" s="1667"/>
      <c r="K3" s="1667"/>
      <c r="L3" s="1667"/>
      <c r="M3" s="1667"/>
      <c r="N3" s="1667"/>
      <c r="O3" s="1667"/>
      <c r="P3" s="1667"/>
      <c r="Q3" s="1667"/>
      <c r="R3" s="1667"/>
      <c r="S3" s="1667"/>
      <c r="T3" s="1667"/>
      <c r="U3" s="1667"/>
      <c r="V3" s="1667"/>
      <c r="W3" s="1667"/>
      <c r="X3" s="1667"/>
      <c r="Y3" s="1667"/>
      <c r="Z3" s="1667"/>
      <c r="AA3" s="1667"/>
      <c r="AB3" s="1667"/>
      <c r="AC3" s="1667"/>
      <c r="AD3" s="1667"/>
      <c r="AE3" s="1667"/>
    </row>
    <row r="4" spans="1:32" ht="15.75" customHeight="1" x14ac:dyDescent="0.25">
      <c r="B4" s="35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 t="s">
        <v>658</v>
      </c>
    </row>
    <row r="5" spans="1:32" ht="27.75" customHeight="1" x14ac:dyDescent="0.25">
      <c r="A5" s="1670" t="s">
        <v>70</v>
      </c>
      <c r="B5" s="37" t="s">
        <v>57</v>
      </c>
      <c r="C5" s="1668" t="s">
        <v>58</v>
      </c>
      <c r="D5" s="1668"/>
      <c r="E5" s="1668" t="s">
        <v>59</v>
      </c>
      <c r="F5" s="1668"/>
      <c r="G5" s="1668" t="s">
        <v>60</v>
      </c>
      <c r="H5" s="1668"/>
      <c r="I5" s="1668"/>
      <c r="J5" s="1668"/>
      <c r="K5" s="1671" t="s">
        <v>471</v>
      </c>
      <c r="L5" s="1671"/>
      <c r="M5" s="1668" t="s">
        <v>472</v>
      </c>
      <c r="N5" s="1668"/>
      <c r="O5" s="1668"/>
      <c r="P5" s="1668" t="s">
        <v>473</v>
      </c>
      <c r="Q5" s="1668"/>
      <c r="R5" s="1668"/>
      <c r="S5" s="1669" t="s">
        <v>595</v>
      </c>
      <c r="T5" s="1669"/>
      <c r="U5" s="1669"/>
      <c r="V5" s="1669"/>
      <c r="W5" s="1669"/>
      <c r="X5" s="1668" t="s">
        <v>603</v>
      </c>
      <c r="Y5" s="1668"/>
      <c r="Z5" s="1668"/>
      <c r="AA5" s="1668" t="s">
        <v>604</v>
      </c>
      <c r="AB5" s="1668"/>
      <c r="AC5" s="1668"/>
      <c r="AD5" s="1668"/>
      <c r="AE5" s="1668"/>
    </row>
    <row r="6" spans="1:32" s="3" customFormat="1" ht="30.75" customHeight="1" x14ac:dyDescent="0.2">
      <c r="A6" s="1670"/>
      <c r="B6" s="1640" t="s">
        <v>659</v>
      </c>
      <c r="C6" s="1665" t="s">
        <v>660</v>
      </c>
      <c r="D6" s="1665"/>
      <c r="E6" s="1665"/>
      <c r="F6" s="1665"/>
      <c r="G6" s="1665" t="s">
        <v>661</v>
      </c>
      <c r="H6" s="1665"/>
      <c r="I6" s="1665"/>
      <c r="J6" s="1665"/>
      <c r="K6" s="1665"/>
      <c r="L6" s="1665"/>
      <c r="M6" s="1664" t="s">
        <v>662</v>
      </c>
      <c r="N6" s="1664"/>
      <c r="O6" s="1664"/>
      <c r="P6" s="1664"/>
      <c r="Q6" s="1664"/>
      <c r="R6" s="1664"/>
      <c r="S6" s="1664" t="s">
        <v>530</v>
      </c>
      <c r="T6" s="1664"/>
      <c r="U6" s="1664"/>
      <c r="V6" s="1664"/>
      <c r="W6" s="1664"/>
      <c r="X6" s="1664"/>
      <c r="Y6" s="1664"/>
      <c r="Z6" s="1664"/>
      <c r="AA6" s="1487" t="s">
        <v>663</v>
      </c>
      <c r="AB6" s="1487"/>
      <c r="AC6" s="1487"/>
      <c r="AD6" s="1487"/>
      <c r="AE6" s="1487"/>
    </row>
    <row r="7" spans="1:32" s="3" customFormat="1" ht="40.5" customHeight="1" x14ac:dyDescent="0.2">
      <c r="A7" s="1670"/>
      <c r="B7" s="1640"/>
      <c r="C7" s="1666" t="s">
        <v>664</v>
      </c>
      <c r="D7" s="1666"/>
      <c r="E7" s="1546" t="s">
        <v>665</v>
      </c>
      <c r="F7" s="1546"/>
      <c r="G7" s="1666" t="s">
        <v>666</v>
      </c>
      <c r="H7" s="1666"/>
      <c r="I7" s="1666"/>
      <c r="J7" s="1666"/>
      <c r="K7" s="1666" t="s">
        <v>665</v>
      </c>
      <c r="L7" s="1666"/>
      <c r="M7" s="1673" t="s">
        <v>666</v>
      </c>
      <c r="N7" s="1673"/>
      <c r="O7" s="1673"/>
      <c r="P7" s="1666" t="s">
        <v>665</v>
      </c>
      <c r="Q7" s="1666"/>
      <c r="R7" s="1666"/>
      <c r="S7" s="1673" t="s">
        <v>666</v>
      </c>
      <c r="T7" s="1673"/>
      <c r="U7" s="1673"/>
      <c r="V7" s="1673"/>
      <c r="W7" s="1673"/>
      <c r="X7" s="1673" t="s">
        <v>667</v>
      </c>
      <c r="Y7" s="1673"/>
      <c r="Z7" s="1673"/>
      <c r="AA7" s="1487"/>
      <c r="AB7" s="1487"/>
      <c r="AC7" s="1487"/>
      <c r="AD7" s="1487"/>
      <c r="AE7" s="1487"/>
    </row>
    <row r="8" spans="1:32" s="3" customFormat="1" ht="27" customHeight="1" x14ac:dyDescent="0.2">
      <c r="A8" s="1670"/>
      <c r="B8" s="1640"/>
      <c r="C8" s="38">
        <v>42736</v>
      </c>
      <c r="D8" s="38">
        <v>43100</v>
      </c>
      <c r="E8" s="38">
        <v>42736</v>
      </c>
      <c r="F8" s="38">
        <v>43100</v>
      </c>
      <c r="G8" s="38">
        <v>42736</v>
      </c>
      <c r="H8" s="38">
        <v>43221</v>
      </c>
      <c r="I8" s="38">
        <v>43374</v>
      </c>
      <c r="J8" s="38">
        <v>43100</v>
      </c>
      <c r="K8" s="38">
        <v>42736</v>
      </c>
      <c r="L8" s="38">
        <v>43100</v>
      </c>
      <c r="M8" s="38">
        <v>42736</v>
      </c>
      <c r="N8" s="732">
        <v>43497</v>
      </c>
      <c r="O8" s="38">
        <v>43100</v>
      </c>
      <c r="P8" s="38">
        <v>42736</v>
      </c>
      <c r="Q8" s="38">
        <v>43497</v>
      </c>
      <c r="R8" s="38">
        <v>43100</v>
      </c>
      <c r="S8" s="38">
        <v>42736</v>
      </c>
      <c r="T8" s="732">
        <v>43497</v>
      </c>
      <c r="U8" s="38">
        <v>43221</v>
      </c>
      <c r="V8" s="38">
        <v>43009</v>
      </c>
      <c r="W8" s="38">
        <v>43100</v>
      </c>
      <c r="X8" s="38">
        <v>42736</v>
      </c>
      <c r="Y8" s="38">
        <v>43497</v>
      </c>
      <c r="Z8" s="38">
        <v>43100</v>
      </c>
      <c r="AA8" s="38">
        <v>42736</v>
      </c>
      <c r="AB8" s="732">
        <v>43497</v>
      </c>
      <c r="AC8" s="38">
        <v>43221</v>
      </c>
      <c r="AD8" s="579">
        <v>43009</v>
      </c>
      <c r="AE8" s="38">
        <v>43100</v>
      </c>
    </row>
    <row r="9" spans="1:32" s="3" customFormat="1" ht="13.9" customHeight="1" x14ac:dyDescent="0.25">
      <c r="A9" s="39"/>
      <c r="B9" s="26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pans="1:32" s="3" customFormat="1" ht="13.9" customHeight="1" x14ac:dyDescent="0.25">
      <c r="A10" s="39" t="s">
        <v>480</v>
      </c>
      <c r="B10" s="41" t="s">
        <v>1264</v>
      </c>
      <c r="C10" s="676">
        <v>6</v>
      </c>
      <c r="D10" s="676">
        <f>C10</f>
        <v>6</v>
      </c>
      <c r="E10" s="678"/>
      <c r="F10" s="676">
        <f>+E10</f>
        <v>0</v>
      </c>
      <c r="G10" s="42">
        <v>2</v>
      </c>
      <c r="H10" s="42"/>
      <c r="I10" s="42"/>
      <c r="J10" s="42" t="s">
        <v>668</v>
      </c>
      <c r="K10" s="42"/>
      <c r="L10" s="42"/>
      <c r="M10" s="42" t="s">
        <v>564</v>
      </c>
      <c r="N10" s="42"/>
      <c r="O10" s="42" t="s">
        <v>564</v>
      </c>
      <c r="P10" s="42" t="s">
        <v>564</v>
      </c>
      <c r="Q10" s="42"/>
      <c r="R10" s="42" t="s">
        <v>564</v>
      </c>
      <c r="S10" s="676">
        <f>C10+G10</f>
        <v>8</v>
      </c>
      <c r="T10" s="676"/>
      <c r="U10" s="676"/>
      <c r="V10" s="676">
        <v>0</v>
      </c>
      <c r="W10" s="676">
        <f>D10+J10</f>
        <v>8</v>
      </c>
      <c r="X10" s="676">
        <v>0</v>
      </c>
      <c r="Y10" s="676"/>
      <c r="Z10" s="676">
        <f>X10</f>
        <v>0</v>
      </c>
      <c r="AA10" s="679">
        <f>C10+E10/2+K10/2+P10/2+G10+M10</f>
        <v>8</v>
      </c>
      <c r="AB10" s="679"/>
      <c r="AC10" s="353"/>
      <c r="AD10" s="353"/>
      <c r="AE10" s="353">
        <f>AA10+AD10</f>
        <v>8</v>
      </c>
    </row>
    <row r="11" spans="1:32" s="3" customFormat="1" ht="13.9" customHeight="1" x14ac:dyDescent="0.25">
      <c r="A11" s="39"/>
      <c r="B11" s="26"/>
      <c r="C11" s="43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pans="1:32" s="16" customFormat="1" ht="14.45" customHeight="1" x14ac:dyDescent="0.25">
      <c r="A12" s="4" t="s">
        <v>488</v>
      </c>
      <c r="B12" s="44" t="s">
        <v>669</v>
      </c>
      <c r="C12" s="45">
        <v>3</v>
      </c>
      <c r="D12" s="46">
        <f>C12</f>
        <v>3</v>
      </c>
      <c r="E12" s="46"/>
      <c r="F12" s="46"/>
      <c r="G12" s="46">
        <v>36</v>
      </c>
      <c r="H12" s="623">
        <v>2</v>
      </c>
      <c r="I12" s="623">
        <v>-2</v>
      </c>
      <c r="J12" s="46">
        <f>G12</f>
        <v>36</v>
      </c>
      <c r="K12" s="46"/>
      <c r="L12" s="46"/>
      <c r="M12" s="46">
        <v>0</v>
      </c>
      <c r="N12" s="46"/>
      <c r="O12" s="46">
        <v>0</v>
      </c>
      <c r="P12" s="46">
        <v>0</v>
      </c>
      <c r="Q12" s="46"/>
      <c r="R12" s="46">
        <v>0</v>
      </c>
      <c r="S12" s="46">
        <f>C12+G12+M12</f>
        <v>39</v>
      </c>
      <c r="T12" s="46"/>
      <c r="U12" s="46">
        <v>2</v>
      </c>
      <c r="V12" s="580">
        <v>-2</v>
      </c>
      <c r="W12" s="46">
        <f>SUM(S12:V12)</f>
        <v>39</v>
      </c>
      <c r="X12" s="46">
        <v>0</v>
      </c>
      <c r="Y12" s="46"/>
      <c r="Z12" s="46">
        <v>0</v>
      </c>
      <c r="AA12" s="48">
        <f>S12</f>
        <v>39</v>
      </c>
      <c r="AB12" s="48"/>
      <c r="AC12" s="608">
        <v>2</v>
      </c>
      <c r="AD12" s="608">
        <f>V12</f>
        <v>-2</v>
      </c>
      <c r="AE12" s="48">
        <f>AA12+AC12+AD12</f>
        <v>39</v>
      </c>
    </row>
    <row r="13" spans="1:32" s="16" customFormat="1" ht="14.45" customHeight="1" x14ac:dyDescent="0.25">
      <c r="A13" s="4"/>
    </row>
    <row r="14" spans="1:32" ht="15.75" customHeight="1" x14ac:dyDescent="0.25">
      <c r="A14" s="4"/>
      <c r="B14" s="49"/>
      <c r="C14" s="50"/>
      <c r="D14" s="51"/>
      <c r="E14" s="51"/>
      <c r="F14" s="51"/>
      <c r="G14" s="51"/>
      <c r="H14" s="51"/>
      <c r="I14" s="51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3"/>
      <c r="X14" s="53"/>
      <c r="Y14" s="53"/>
      <c r="Z14" s="53"/>
      <c r="AA14" s="53"/>
      <c r="AB14" s="53"/>
      <c r="AC14" s="53"/>
      <c r="AD14" s="53"/>
      <c r="AE14" s="53"/>
    </row>
    <row r="15" spans="1:32" s="16" customFormat="1" ht="14.45" customHeight="1" x14ac:dyDescent="0.25">
      <c r="A15" s="4" t="s">
        <v>489</v>
      </c>
      <c r="B15" s="54" t="s">
        <v>670</v>
      </c>
      <c r="C15" s="55"/>
      <c r="D15" s="56"/>
      <c r="E15" s="56"/>
      <c r="F15" s="56"/>
      <c r="G15" s="56"/>
      <c r="H15" s="56"/>
      <c r="I15" s="56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8"/>
      <c r="X15" s="58"/>
      <c r="Y15" s="58"/>
      <c r="Z15" s="58"/>
      <c r="AA15" s="58"/>
      <c r="AB15" s="58"/>
      <c r="AC15" s="58"/>
      <c r="AD15" s="58"/>
      <c r="AE15" s="58"/>
    </row>
    <row r="16" spans="1:32" s="16" customFormat="1" ht="14.45" customHeight="1" x14ac:dyDescent="0.25">
      <c r="A16" s="4" t="s">
        <v>490</v>
      </c>
      <c r="B16" s="59" t="s">
        <v>671</v>
      </c>
      <c r="C16" s="602"/>
      <c r="D16" s="61"/>
      <c r="E16" s="61"/>
      <c r="F16" s="61"/>
      <c r="G16" s="61"/>
      <c r="H16" s="61"/>
      <c r="I16" s="61"/>
      <c r="J16" s="61"/>
      <c r="K16" s="61"/>
      <c r="L16" s="61"/>
      <c r="M16" s="622">
        <v>22.5</v>
      </c>
      <c r="N16" s="622"/>
      <c r="O16" s="623">
        <f t="shared" ref="O16:O23" si="0">M16</f>
        <v>22.5</v>
      </c>
      <c r="P16" s="622"/>
      <c r="Q16" s="622"/>
      <c r="R16" s="622"/>
      <c r="S16" s="623">
        <f t="shared" ref="S16:S24" si="1">C16+G16+M16</f>
        <v>22.5</v>
      </c>
      <c r="T16" s="623"/>
      <c r="U16" s="623"/>
      <c r="V16" s="623"/>
      <c r="W16" s="623">
        <f t="shared" ref="W16:W23" si="2">D16+J16+O16</f>
        <v>22.5</v>
      </c>
      <c r="X16" s="623"/>
      <c r="Y16" s="623"/>
      <c r="Z16" s="623"/>
      <c r="AA16" s="623">
        <f t="shared" ref="AA16:AA21" si="3">S16+X16/2</f>
        <v>22.5</v>
      </c>
      <c r="AB16" s="623"/>
      <c r="AC16" s="623"/>
      <c r="AD16" s="623"/>
      <c r="AE16" s="623">
        <f t="shared" ref="AE16:AE23" si="4">W16+Z16/2</f>
        <v>22.5</v>
      </c>
      <c r="AF16" s="603"/>
    </row>
    <row r="17" spans="1:32" s="16" customFormat="1" ht="14.45" customHeight="1" x14ac:dyDescent="0.25">
      <c r="A17" s="4" t="s">
        <v>491</v>
      </c>
      <c r="B17" s="59" t="s">
        <v>952</v>
      </c>
      <c r="C17" s="60"/>
      <c r="D17" s="61"/>
      <c r="E17" s="61"/>
      <c r="F17" s="61"/>
      <c r="G17" s="61"/>
      <c r="H17" s="61"/>
      <c r="I17" s="61"/>
      <c r="J17" s="61"/>
      <c r="K17" s="61"/>
      <c r="L17" s="61"/>
      <c r="M17" s="61">
        <v>20</v>
      </c>
      <c r="N17" s="61"/>
      <c r="O17" s="46">
        <f t="shared" si="0"/>
        <v>20</v>
      </c>
      <c r="P17" s="61"/>
      <c r="Q17" s="61"/>
      <c r="R17" s="61"/>
      <c r="S17" s="46">
        <f t="shared" si="1"/>
        <v>20</v>
      </c>
      <c r="T17" s="46"/>
      <c r="U17" s="46"/>
      <c r="V17" s="46"/>
      <c r="W17" s="46">
        <f t="shared" si="2"/>
        <v>20</v>
      </c>
      <c r="X17" s="46"/>
      <c r="Y17" s="46"/>
      <c r="Z17" s="46"/>
      <c r="AA17" s="46">
        <f t="shared" si="3"/>
        <v>20</v>
      </c>
      <c r="AB17" s="46"/>
      <c r="AC17" s="46"/>
      <c r="AD17" s="46"/>
      <c r="AE17" s="46">
        <f t="shared" si="4"/>
        <v>20</v>
      </c>
    </row>
    <row r="18" spans="1:32" s="16" customFormat="1" ht="14.45" customHeight="1" x14ac:dyDescent="0.25">
      <c r="A18" s="4" t="s">
        <v>492</v>
      </c>
      <c r="B18" s="59" t="s">
        <v>953</v>
      </c>
      <c r="C18" s="60"/>
      <c r="D18" s="61"/>
      <c r="E18" s="61"/>
      <c r="F18" s="61"/>
      <c r="G18" s="61"/>
      <c r="H18" s="61"/>
      <c r="I18" s="61"/>
      <c r="J18" s="61"/>
      <c r="K18" s="61"/>
      <c r="L18" s="61"/>
      <c r="M18" s="61">
        <v>9</v>
      </c>
      <c r="N18" s="61"/>
      <c r="O18" s="46">
        <f t="shared" si="0"/>
        <v>9</v>
      </c>
      <c r="P18" s="61"/>
      <c r="Q18" s="61"/>
      <c r="R18" s="61"/>
      <c r="S18" s="46">
        <f t="shared" si="1"/>
        <v>9</v>
      </c>
      <c r="T18" s="46"/>
      <c r="U18" s="46"/>
      <c r="V18" s="46"/>
      <c r="W18" s="46">
        <f t="shared" si="2"/>
        <v>9</v>
      </c>
      <c r="X18" s="46"/>
      <c r="Y18" s="46"/>
      <c r="Z18" s="46"/>
      <c r="AA18" s="46">
        <f t="shared" si="3"/>
        <v>9</v>
      </c>
      <c r="AB18" s="46"/>
      <c r="AC18" s="46"/>
      <c r="AD18" s="46"/>
      <c r="AE18" s="46">
        <f t="shared" si="4"/>
        <v>9</v>
      </c>
    </row>
    <row r="19" spans="1:32" s="16" customFormat="1" ht="14.45" customHeight="1" x14ac:dyDescent="0.25">
      <c r="A19" s="4" t="s">
        <v>493</v>
      </c>
      <c r="B19" s="59" t="s">
        <v>954</v>
      </c>
      <c r="C19" s="60"/>
      <c r="D19" s="61"/>
      <c r="E19" s="61"/>
      <c r="F19" s="61"/>
      <c r="G19" s="61"/>
      <c r="H19" s="61"/>
      <c r="I19" s="61"/>
      <c r="J19" s="61"/>
      <c r="K19" s="61"/>
      <c r="L19" s="61"/>
      <c r="M19" s="61">
        <v>11</v>
      </c>
      <c r="N19" s="61"/>
      <c r="O19" s="46">
        <f t="shared" si="0"/>
        <v>11</v>
      </c>
      <c r="P19" s="61"/>
      <c r="Q19" s="61"/>
      <c r="R19" s="61"/>
      <c r="S19" s="46">
        <f t="shared" si="1"/>
        <v>11</v>
      </c>
      <c r="T19" s="46"/>
      <c r="U19" s="46"/>
      <c r="V19" s="46"/>
      <c r="W19" s="46">
        <f t="shared" si="2"/>
        <v>11</v>
      </c>
      <c r="X19" s="46"/>
      <c r="Y19" s="46"/>
      <c r="Z19" s="46"/>
      <c r="AA19" s="46">
        <f t="shared" si="3"/>
        <v>11</v>
      </c>
      <c r="AB19" s="46"/>
      <c r="AC19" s="46"/>
      <c r="AD19" s="46"/>
      <c r="AE19" s="46">
        <f t="shared" si="4"/>
        <v>11</v>
      </c>
    </row>
    <row r="20" spans="1:32" s="16" customFormat="1" ht="14.45" customHeight="1" x14ac:dyDescent="0.25">
      <c r="A20" s="4" t="s">
        <v>494</v>
      </c>
      <c r="B20" s="59" t="s">
        <v>672</v>
      </c>
      <c r="C20" s="60"/>
      <c r="D20" s="61"/>
      <c r="E20" s="61"/>
      <c r="F20" s="61"/>
      <c r="G20" s="61"/>
      <c r="H20" s="61"/>
      <c r="I20" s="61"/>
      <c r="J20" s="61"/>
      <c r="K20" s="61"/>
      <c r="L20" s="61"/>
      <c r="M20" s="61">
        <v>1</v>
      </c>
      <c r="N20" s="61"/>
      <c r="O20" s="46">
        <f t="shared" si="0"/>
        <v>1</v>
      </c>
      <c r="P20" s="61"/>
      <c r="Q20" s="61"/>
      <c r="R20" s="61"/>
      <c r="S20" s="46">
        <f t="shared" si="1"/>
        <v>1</v>
      </c>
      <c r="T20" s="46"/>
      <c r="U20" s="46"/>
      <c r="V20" s="46"/>
      <c r="W20" s="46">
        <f t="shared" si="2"/>
        <v>1</v>
      </c>
      <c r="X20" s="46"/>
      <c r="Y20" s="46"/>
      <c r="Z20" s="46"/>
      <c r="AA20" s="46">
        <f t="shared" si="3"/>
        <v>1</v>
      </c>
      <c r="AB20" s="46"/>
      <c r="AC20" s="46"/>
      <c r="AD20" s="46"/>
      <c r="AE20" s="46">
        <f t="shared" si="4"/>
        <v>1</v>
      </c>
    </row>
    <row r="21" spans="1:32" s="16" customFormat="1" ht="14.45" customHeight="1" x14ac:dyDescent="0.25">
      <c r="A21" s="4" t="s">
        <v>495</v>
      </c>
      <c r="B21" s="59" t="s">
        <v>673</v>
      </c>
      <c r="C21" s="60"/>
      <c r="D21" s="61"/>
      <c r="E21" s="61"/>
      <c r="F21" s="61"/>
      <c r="G21" s="61"/>
      <c r="H21" s="61"/>
      <c r="I21" s="61"/>
      <c r="J21" s="61"/>
      <c r="K21" s="61"/>
      <c r="L21" s="61"/>
      <c r="M21" s="61">
        <v>5</v>
      </c>
      <c r="N21" s="61"/>
      <c r="O21" s="46">
        <f t="shared" si="0"/>
        <v>5</v>
      </c>
      <c r="P21" s="61"/>
      <c r="Q21" s="61"/>
      <c r="R21" s="61"/>
      <c r="S21" s="46">
        <f t="shared" si="1"/>
        <v>5</v>
      </c>
      <c r="T21" s="46"/>
      <c r="U21" s="46"/>
      <c r="V21" s="46"/>
      <c r="W21" s="46">
        <f t="shared" si="2"/>
        <v>5</v>
      </c>
      <c r="X21" s="46"/>
      <c r="Y21" s="46"/>
      <c r="Z21" s="46"/>
      <c r="AA21" s="46">
        <f t="shared" si="3"/>
        <v>5</v>
      </c>
      <c r="AB21" s="46"/>
      <c r="AC21" s="46"/>
      <c r="AD21" s="46"/>
      <c r="AE21" s="46">
        <f t="shared" si="4"/>
        <v>5</v>
      </c>
    </row>
    <row r="22" spans="1:32" s="16" customFormat="1" ht="14.45" customHeight="1" x14ac:dyDescent="0.25">
      <c r="A22" s="4" t="s">
        <v>532</v>
      </c>
      <c r="B22" s="59" t="s">
        <v>936</v>
      </c>
      <c r="C22" s="60"/>
      <c r="D22" s="61"/>
      <c r="E22" s="61"/>
      <c r="F22" s="61"/>
      <c r="G22" s="61"/>
      <c r="H22" s="61"/>
      <c r="I22" s="61"/>
      <c r="J22" s="61"/>
      <c r="K22" s="61"/>
      <c r="L22" s="61"/>
      <c r="M22" s="61">
        <v>3</v>
      </c>
      <c r="N22" s="61"/>
      <c r="O22" s="46">
        <f t="shared" si="0"/>
        <v>3</v>
      </c>
      <c r="P22" s="61"/>
      <c r="Q22" s="61"/>
      <c r="R22" s="61"/>
      <c r="S22" s="46">
        <f t="shared" si="1"/>
        <v>3</v>
      </c>
      <c r="T22" s="46"/>
      <c r="U22" s="46"/>
      <c r="V22" s="46"/>
      <c r="W22" s="46">
        <f t="shared" si="2"/>
        <v>3</v>
      </c>
      <c r="X22" s="46"/>
      <c r="Y22" s="46"/>
      <c r="Z22" s="46"/>
      <c r="AA22" s="46">
        <v>3</v>
      </c>
      <c r="AB22" s="46"/>
      <c r="AC22" s="46"/>
      <c r="AD22" s="46"/>
      <c r="AE22" s="46">
        <f t="shared" si="4"/>
        <v>3</v>
      </c>
    </row>
    <row r="23" spans="1:32" s="16" customFormat="1" ht="14.45" customHeight="1" x14ac:dyDescent="0.25">
      <c r="A23" s="4" t="s">
        <v>533</v>
      </c>
      <c r="B23" s="59" t="s">
        <v>674</v>
      </c>
      <c r="C23" s="60"/>
      <c r="D23" s="61"/>
      <c r="E23" s="61"/>
      <c r="F23" s="61"/>
      <c r="G23" s="61"/>
      <c r="H23" s="61"/>
      <c r="I23" s="61"/>
      <c r="J23" s="61"/>
      <c r="K23" s="61"/>
      <c r="L23" s="61"/>
      <c r="M23" s="61">
        <v>4</v>
      </c>
      <c r="N23" s="61"/>
      <c r="O23" s="46">
        <f t="shared" si="0"/>
        <v>4</v>
      </c>
      <c r="P23" s="61"/>
      <c r="Q23" s="61"/>
      <c r="R23" s="61"/>
      <c r="S23" s="46">
        <f t="shared" si="1"/>
        <v>4</v>
      </c>
      <c r="T23" s="46"/>
      <c r="U23" s="46"/>
      <c r="V23" s="46"/>
      <c r="W23" s="46">
        <f t="shared" si="2"/>
        <v>4</v>
      </c>
      <c r="X23" s="46"/>
      <c r="Y23" s="46"/>
      <c r="Z23" s="46"/>
      <c r="AA23" s="46">
        <f>S23+X23/2</f>
        <v>4</v>
      </c>
      <c r="AB23" s="46"/>
      <c r="AC23" s="46"/>
      <c r="AD23" s="46"/>
      <c r="AE23" s="46">
        <f t="shared" si="4"/>
        <v>4</v>
      </c>
    </row>
    <row r="24" spans="1:32" s="16" customFormat="1" ht="14.45" customHeight="1" x14ac:dyDescent="0.25">
      <c r="A24" s="4" t="s">
        <v>534</v>
      </c>
      <c r="B24" s="44" t="s">
        <v>675</v>
      </c>
      <c r="C24" s="45"/>
      <c r="D24" s="62"/>
      <c r="E24" s="62"/>
      <c r="F24" s="62"/>
      <c r="G24" s="62"/>
      <c r="H24" s="62"/>
      <c r="I24" s="62"/>
      <c r="J24" s="61"/>
      <c r="K24" s="61"/>
      <c r="L24" s="61"/>
      <c r="M24" s="46">
        <f>SUM(M16:M23)</f>
        <v>75.5</v>
      </c>
      <c r="N24" s="46"/>
      <c r="O24" s="46">
        <f>SUM(O16:O23)</f>
        <v>75.5</v>
      </c>
      <c r="P24" s="46">
        <v>0</v>
      </c>
      <c r="Q24" s="46"/>
      <c r="R24" s="46">
        <v>0</v>
      </c>
      <c r="S24" s="46">
        <f t="shared" si="1"/>
        <v>75.5</v>
      </c>
      <c r="T24" s="46"/>
      <c r="U24" s="46"/>
      <c r="V24" s="46"/>
      <c r="W24" s="46">
        <f>SUM(W16:W23)</f>
        <v>75.5</v>
      </c>
      <c r="X24" s="46">
        <v>0</v>
      </c>
      <c r="Y24" s="46"/>
      <c r="Z24" s="46">
        <v>0</v>
      </c>
      <c r="AA24" s="181">
        <f>S24+X24/2</f>
        <v>75.5</v>
      </c>
      <c r="AB24" s="181"/>
      <c r="AC24" s="181"/>
      <c r="AD24" s="580">
        <v>0</v>
      </c>
      <c r="AE24" s="46">
        <f>SUM(AE16:AE23)</f>
        <v>75.5</v>
      </c>
      <c r="AF24" s="570"/>
    </row>
    <row r="25" spans="1:32" s="16" customFormat="1" ht="13.5" customHeight="1" x14ac:dyDescent="0.25">
      <c r="A25" s="4"/>
      <c r="B25" s="98"/>
      <c r="C25" s="99"/>
      <c r="D25" s="100"/>
      <c r="E25" s="100"/>
      <c r="F25" s="100"/>
      <c r="G25" s="100"/>
      <c r="H25" s="100"/>
      <c r="I25" s="100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</row>
    <row r="26" spans="1:32" ht="12.75" customHeight="1" x14ac:dyDescent="0.25">
      <c r="A26" s="4"/>
      <c r="B26" s="49"/>
      <c r="C26" s="50"/>
      <c r="D26" s="51"/>
      <c r="E26" s="51"/>
      <c r="F26" s="51"/>
      <c r="G26" s="51"/>
      <c r="H26" s="51"/>
      <c r="I26" s="51"/>
      <c r="J26" s="69"/>
      <c r="K26" s="69"/>
      <c r="L26" s="69"/>
      <c r="M26" s="69"/>
      <c r="N26" s="69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</row>
    <row r="27" spans="1:32" s="16" customFormat="1" ht="27" customHeight="1" x14ac:dyDescent="0.25">
      <c r="A27" s="4" t="s">
        <v>535</v>
      </c>
      <c r="B27" s="54" t="s">
        <v>676</v>
      </c>
      <c r="C27" s="55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6"/>
    </row>
    <row r="28" spans="1:32" s="16" customFormat="1" ht="27.75" customHeight="1" x14ac:dyDescent="0.25">
      <c r="A28" s="4" t="s">
        <v>536</v>
      </c>
      <c r="B28" s="726" t="s">
        <v>1290</v>
      </c>
      <c r="C28" s="727"/>
      <c r="D28" s="622"/>
      <c r="E28" s="622"/>
      <c r="F28" s="622"/>
      <c r="G28" s="622"/>
      <c r="H28" s="622"/>
      <c r="I28" s="622"/>
      <c r="J28" s="623"/>
      <c r="K28" s="623"/>
      <c r="L28" s="623"/>
      <c r="M28" s="622">
        <v>7</v>
      </c>
      <c r="N28" s="622">
        <v>1</v>
      </c>
      <c r="O28" s="623">
        <f>M28+N28</f>
        <v>8</v>
      </c>
      <c r="P28" s="622"/>
      <c r="Q28" s="622"/>
      <c r="R28" s="622"/>
      <c r="S28" s="623">
        <f>C28+G28+M28</f>
        <v>7</v>
      </c>
      <c r="T28" s="623">
        <v>1</v>
      </c>
      <c r="U28" s="623"/>
      <c r="V28" s="623"/>
      <c r="W28" s="623">
        <f>D28+J28+O28</f>
        <v>8</v>
      </c>
      <c r="X28" s="623"/>
      <c r="Y28" s="623"/>
      <c r="Z28" s="623"/>
      <c r="AA28" s="623">
        <f t="shared" ref="AA28:AA40" si="5">C28+G28+M28+P28/2</f>
        <v>7</v>
      </c>
      <c r="AB28" s="623">
        <f>N28</f>
        <v>1</v>
      </c>
      <c r="AC28" s="623"/>
      <c r="AD28" s="622"/>
      <c r="AE28" s="623">
        <f>D28+J28+O28+R28/2</f>
        <v>8</v>
      </c>
      <c r="AF28" s="24"/>
    </row>
    <row r="29" spans="1:32" s="16" customFormat="1" ht="14.45" customHeight="1" x14ac:dyDescent="0.25">
      <c r="A29" s="4" t="s">
        <v>537</v>
      </c>
      <c r="B29" s="726" t="s">
        <v>677</v>
      </c>
      <c r="C29" s="727"/>
      <c r="D29" s="622"/>
      <c r="E29" s="622"/>
      <c r="F29" s="622"/>
      <c r="G29" s="622"/>
      <c r="H29" s="622"/>
      <c r="I29" s="622"/>
      <c r="J29" s="622"/>
      <c r="K29" s="622"/>
      <c r="L29" s="622"/>
      <c r="M29" s="622">
        <v>1</v>
      </c>
      <c r="N29" s="622"/>
      <c r="O29" s="623">
        <f t="shared" ref="O29:O38" si="6">M29</f>
        <v>1</v>
      </c>
      <c r="P29" s="622"/>
      <c r="Q29" s="622"/>
      <c r="R29" s="622"/>
      <c r="S29" s="623">
        <f>C29+G29+M29</f>
        <v>1</v>
      </c>
      <c r="T29" s="623"/>
      <c r="U29" s="623"/>
      <c r="V29" s="623"/>
      <c r="W29" s="623">
        <f>D29+J29+O29</f>
        <v>1</v>
      </c>
      <c r="X29" s="623"/>
      <c r="Y29" s="623"/>
      <c r="Z29" s="623"/>
      <c r="AA29" s="623">
        <f t="shared" si="5"/>
        <v>1</v>
      </c>
      <c r="AB29" s="623"/>
      <c r="AC29" s="623"/>
      <c r="AD29" s="622"/>
      <c r="AE29" s="623">
        <f>D29+J29+O29+R29/2</f>
        <v>1</v>
      </c>
      <c r="AF29" s="24"/>
    </row>
    <row r="30" spans="1:32" s="16" customFormat="1" ht="14.25" customHeight="1" x14ac:dyDescent="0.25">
      <c r="A30" s="4" t="s">
        <v>538</v>
      </c>
      <c r="B30" s="726" t="s">
        <v>1284</v>
      </c>
      <c r="C30" s="60"/>
      <c r="D30" s="61"/>
      <c r="E30" s="61"/>
      <c r="F30" s="61"/>
      <c r="G30" s="61"/>
      <c r="H30" s="61"/>
      <c r="I30" s="61"/>
      <c r="J30" s="61"/>
      <c r="K30" s="61"/>
      <c r="L30" s="61"/>
      <c r="M30" s="61">
        <v>31</v>
      </c>
      <c r="N30" s="61"/>
      <c r="O30" s="46">
        <f t="shared" si="6"/>
        <v>31</v>
      </c>
      <c r="P30" s="61">
        <v>1</v>
      </c>
      <c r="Q30" s="61">
        <v>-1</v>
      </c>
      <c r="R30" s="61">
        <f>P30+Q30</f>
        <v>0</v>
      </c>
      <c r="S30" s="46">
        <v>31</v>
      </c>
      <c r="T30" s="46"/>
      <c r="U30" s="46"/>
      <c r="V30" s="46"/>
      <c r="W30" s="46">
        <f>D30+J30+O30</f>
        <v>31</v>
      </c>
      <c r="X30" s="623">
        <f>P30+K30+E30</f>
        <v>1</v>
      </c>
      <c r="Y30" s="623">
        <v>-1</v>
      </c>
      <c r="Z30" s="623">
        <f>F30+L30+R30</f>
        <v>0</v>
      </c>
      <c r="AA30" s="623">
        <f t="shared" si="5"/>
        <v>31.5</v>
      </c>
      <c r="AB30" s="623">
        <v>-0.5</v>
      </c>
      <c r="AC30" s="623"/>
      <c r="AD30" s="622"/>
      <c r="AE30" s="623">
        <f>D30+J30+O30+R30/2+AB30</f>
        <v>30.5</v>
      </c>
      <c r="AF30" s="24"/>
    </row>
    <row r="31" spans="1:32" s="16" customFormat="1" ht="29.25" customHeight="1" x14ac:dyDescent="0.25">
      <c r="A31" s="4" t="s">
        <v>540</v>
      </c>
      <c r="B31" s="726" t="s">
        <v>1285</v>
      </c>
      <c r="C31" s="727"/>
      <c r="D31" s="622"/>
      <c r="E31" s="622"/>
      <c r="F31" s="622"/>
      <c r="G31" s="622"/>
      <c r="H31" s="622"/>
      <c r="I31" s="622"/>
      <c r="J31" s="622"/>
      <c r="K31" s="622"/>
      <c r="L31" s="622"/>
      <c r="M31" s="728">
        <v>2</v>
      </c>
      <c r="N31" s="728"/>
      <c r="O31" s="729">
        <f t="shared" si="6"/>
        <v>2</v>
      </c>
      <c r="P31" s="728"/>
      <c r="Q31" s="728"/>
      <c r="R31" s="728"/>
      <c r="S31" s="729">
        <f>C31+G31+M31</f>
        <v>2</v>
      </c>
      <c r="T31" s="729"/>
      <c r="U31" s="729"/>
      <c r="V31" s="729"/>
      <c r="W31" s="729">
        <f>D31+J31+O31</f>
        <v>2</v>
      </c>
      <c r="X31" s="729"/>
      <c r="Y31" s="729"/>
      <c r="Z31" s="729"/>
      <c r="AA31" s="729">
        <f t="shared" si="5"/>
        <v>2</v>
      </c>
      <c r="AB31" s="729"/>
      <c r="AC31" s="729"/>
      <c r="AD31" s="728"/>
      <c r="AE31" s="729">
        <f>D31+J31+O31+R31/2</f>
        <v>2</v>
      </c>
      <c r="AF31" s="24"/>
    </row>
    <row r="32" spans="1:32" s="16" customFormat="1" ht="14.45" customHeight="1" x14ac:dyDescent="0.25">
      <c r="A32" s="4" t="s">
        <v>541</v>
      </c>
      <c r="B32" s="726" t="s">
        <v>692</v>
      </c>
      <c r="C32" s="727"/>
      <c r="D32" s="622"/>
      <c r="E32" s="622"/>
      <c r="F32" s="622"/>
      <c r="G32" s="622"/>
      <c r="H32" s="622"/>
      <c r="I32" s="622"/>
      <c r="J32" s="622"/>
      <c r="K32" s="622"/>
      <c r="L32" s="622"/>
      <c r="M32" s="622">
        <v>2</v>
      </c>
      <c r="N32" s="622"/>
      <c r="O32" s="623">
        <f t="shared" si="6"/>
        <v>2</v>
      </c>
      <c r="P32" s="622"/>
      <c r="Q32" s="622"/>
      <c r="R32" s="622"/>
      <c r="S32" s="623">
        <f>C32+G32+M32</f>
        <v>2</v>
      </c>
      <c r="T32" s="623"/>
      <c r="U32" s="623"/>
      <c r="V32" s="623"/>
      <c r="W32" s="623">
        <f>D32+J32+O32</f>
        <v>2</v>
      </c>
      <c r="X32" s="623"/>
      <c r="Y32" s="623"/>
      <c r="Z32" s="623"/>
      <c r="AA32" s="623">
        <f t="shared" si="5"/>
        <v>2</v>
      </c>
      <c r="AB32" s="623"/>
      <c r="AC32" s="623"/>
      <c r="AD32" s="623"/>
      <c r="AE32" s="623">
        <f>D32+J32+O32+R32/2</f>
        <v>2</v>
      </c>
      <c r="AF32" s="24"/>
    </row>
    <row r="33" spans="1:34" s="16" customFormat="1" ht="14.45" customHeight="1" x14ac:dyDescent="0.25">
      <c r="A33" s="4" t="s">
        <v>542</v>
      </c>
      <c r="B33" s="726" t="s">
        <v>678</v>
      </c>
      <c r="C33" s="727"/>
      <c r="D33" s="622"/>
      <c r="E33" s="622"/>
      <c r="F33" s="622"/>
      <c r="G33" s="622"/>
      <c r="H33" s="622"/>
      <c r="I33" s="622"/>
      <c r="J33" s="622"/>
      <c r="K33" s="622"/>
      <c r="L33" s="622"/>
      <c r="M33" s="622">
        <v>2</v>
      </c>
      <c r="N33" s="622">
        <v>1</v>
      </c>
      <c r="O33" s="623">
        <f>M33+N33</f>
        <v>3</v>
      </c>
      <c r="P33" s="622"/>
      <c r="Q33" s="622"/>
      <c r="R33" s="622"/>
      <c r="S33" s="623">
        <v>2</v>
      </c>
      <c r="T33" s="623">
        <v>1</v>
      </c>
      <c r="U33" s="623"/>
      <c r="V33" s="623"/>
      <c r="W33" s="623">
        <f>S33+T33</f>
        <v>3</v>
      </c>
      <c r="X33" s="623"/>
      <c r="Y33" s="623"/>
      <c r="Z33" s="623"/>
      <c r="AA33" s="623">
        <f t="shared" si="5"/>
        <v>2</v>
      </c>
      <c r="AB33" s="623">
        <f>T33</f>
        <v>1</v>
      </c>
      <c r="AC33" s="623"/>
      <c r="AD33" s="622"/>
      <c r="AE33" s="623">
        <f>AB33+AA33</f>
        <v>3</v>
      </c>
      <c r="AF33" s="24"/>
      <c r="AH33" s="406"/>
    </row>
    <row r="34" spans="1:34" s="16" customFormat="1" ht="14.45" customHeight="1" x14ac:dyDescent="0.25">
      <c r="A34" s="4" t="s">
        <v>543</v>
      </c>
      <c r="B34" s="726" t="s">
        <v>679</v>
      </c>
      <c r="C34" s="727"/>
      <c r="D34" s="622"/>
      <c r="E34" s="622"/>
      <c r="F34" s="622"/>
      <c r="G34" s="622"/>
      <c r="H34" s="622"/>
      <c r="I34" s="622"/>
      <c r="J34" s="622"/>
      <c r="K34" s="622"/>
      <c r="L34" s="622"/>
      <c r="M34" s="622">
        <v>5</v>
      </c>
      <c r="N34" s="622"/>
      <c r="O34" s="623">
        <f t="shared" si="6"/>
        <v>5</v>
      </c>
      <c r="P34" s="622"/>
      <c r="Q34" s="622"/>
      <c r="R34" s="622"/>
      <c r="S34" s="623">
        <f>M34+P34</f>
        <v>5</v>
      </c>
      <c r="T34" s="623"/>
      <c r="U34" s="623"/>
      <c r="V34" s="623"/>
      <c r="W34" s="623">
        <f>D34+J34+O34</f>
        <v>5</v>
      </c>
      <c r="X34" s="623"/>
      <c r="Y34" s="623"/>
      <c r="Z34" s="623"/>
      <c r="AA34" s="623">
        <f t="shared" si="5"/>
        <v>5</v>
      </c>
      <c r="AB34" s="623"/>
      <c r="AC34" s="623"/>
      <c r="AD34" s="622"/>
      <c r="AE34" s="623">
        <f>D34+J34+O34+R34/2</f>
        <v>5</v>
      </c>
      <c r="AF34" s="24"/>
    </row>
    <row r="35" spans="1:34" s="16" customFormat="1" ht="29.25" customHeight="1" x14ac:dyDescent="0.25">
      <c r="A35" s="4" t="s">
        <v>544</v>
      </c>
      <c r="B35" s="726" t="s">
        <v>1289</v>
      </c>
      <c r="C35" s="727"/>
      <c r="D35" s="622"/>
      <c r="E35" s="622"/>
      <c r="F35" s="622"/>
      <c r="G35" s="622"/>
      <c r="H35" s="622"/>
      <c r="I35" s="622"/>
      <c r="J35" s="622"/>
      <c r="K35" s="622"/>
      <c r="L35" s="622"/>
      <c r="M35" s="622">
        <v>4</v>
      </c>
      <c r="N35" s="622">
        <v>1</v>
      </c>
      <c r="O35" s="623">
        <f>M35+N35</f>
        <v>5</v>
      </c>
      <c r="P35" s="622"/>
      <c r="Q35" s="622"/>
      <c r="R35" s="622"/>
      <c r="S35" s="623">
        <v>4</v>
      </c>
      <c r="T35" s="623">
        <v>1</v>
      </c>
      <c r="U35" s="623"/>
      <c r="V35" s="623"/>
      <c r="W35" s="623">
        <f>D35+J35+O35</f>
        <v>5</v>
      </c>
      <c r="X35" s="623"/>
      <c r="Y35" s="623"/>
      <c r="Z35" s="623"/>
      <c r="AA35" s="623">
        <f t="shared" si="5"/>
        <v>4</v>
      </c>
      <c r="AB35" s="623">
        <f>T35</f>
        <v>1</v>
      </c>
      <c r="AC35" s="623"/>
      <c r="AD35" s="622"/>
      <c r="AE35" s="623">
        <f>D35+J35+O35+R35/2</f>
        <v>5</v>
      </c>
    </row>
    <row r="36" spans="1:34" s="16" customFormat="1" ht="14.45" customHeight="1" x14ac:dyDescent="0.25">
      <c r="A36" s="4" t="s">
        <v>545</v>
      </c>
      <c r="B36" s="726" t="s">
        <v>1291</v>
      </c>
      <c r="C36" s="727"/>
      <c r="D36" s="622"/>
      <c r="E36" s="622"/>
      <c r="F36" s="622"/>
      <c r="G36" s="622"/>
      <c r="H36" s="622"/>
      <c r="I36" s="622"/>
      <c r="J36" s="622"/>
      <c r="K36" s="622"/>
      <c r="L36" s="622"/>
      <c r="M36" s="622">
        <v>1</v>
      </c>
      <c r="N36" s="622">
        <v>-1</v>
      </c>
      <c r="O36" s="623">
        <f>M36+N36</f>
        <v>0</v>
      </c>
      <c r="P36" s="622"/>
      <c r="Q36" s="622"/>
      <c r="R36" s="622"/>
      <c r="S36" s="623">
        <v>1</v>
      </c>
      <c r="T36" s="623">
        <f>N36</f>
        <v>-1</v>
      </c>
      <c r="U36" s="623"/>
      <c r="V36" s="623"/>
      <c r="W36" s="623">
        <f>D36+J36+O36</f>
        <v>0</v>
      </c>
      <c r="X36" s="623"/>
      <c r="Y36" s="623"/>
      <c r="Z36" s="623"/>
      <c r="AA36" s="623">
        <f t="shared" si="5"/>
        <v>1</v>
      </c>
      <c r="AB36" s="623">
        <f>T36</f>
        <v>-1</v>
      </c>
      <c r="AC36" s="623"/>
      <c r="AD36" s="622"/>
      <c r="AE36" s="623">
        <f>D36+J36+O36+R36/2</f>
        <v>0</v>
      </c>
    </row>
    <row r="37" spans="1:34" s="16" customFormat="1" ht="42.75" customHeight="1" x14ac:dyDescent="0.25">
      <c r="A37" s="4" t="s">
        <v>546</v>
      </c>
      <c r="B37" s="726" t="s">
        <v>1287</v>
      </c>
      <c r="C37" s="727"/>
      <c r="D37" s="622"/>
      <c r="E37" s="622"/>
      <c r="F37" s="622"/>
      <c r="G37" s="622"/>
      <c r="H37" s="622"/>
      <c r="I37" s="622"/>
      <c r="J37" s="622"/>
      <c r="K37" s="622"/>
      <c r="L37" s="622"/>
      <c r="M37" s="622">
        <v>4</v>
      </c>
      <c r="N37" s="622">
        <v>1</v>
      </c>
      <c r="O37" s="623">
        <f t="shared" si="6"/>
        <v>4</v>
      </c>
      <c r="P37" s="622"/>
      <c r="Q37" s="622"/>
      <c r="R37" s="622"/>
      <c r="S37" s="623">
        <v>4</v>
      </c>
      <c r="T37" s="623">
        <f>N37</f>
        <v>1</v>
      </c>
      <c r="U37" s="623"/>
      <c r="V37" s="623"/>
      <c r="W37" s="623">
        <f>S37+T37</f>
        <v>5</v>
      </c>
      <c r="X37" s="623"/>
      <c r="Y37" s="623"/>
      <c r="Z37" s="623"/>
      <c r="AA37" s="623">
        <f t="shared" si="5"/>
        <v>4</v>
      </c>
      <c r="AB37" s="623">
        <f>T37</f>
        <v>1</v>
      </c>
      <c r="AC37" s="623"/>
      <c r="AD37" s="622"/>
      <c r="AE37" s="623">
        <f>D37+J37+O37+R37/2+AB37</f>
        <v>5</v>
      </c>
    </row>
    <row r="38" spans="1:34" s="16" customFormat="1" ht="14.25" customHeight="1" x14ac:dyDescent="0.25">
      <c r="A38" s="4" t="s">
        <v>547</v>
      </c>
      <c r="B38" s="726" t="s">
        <v>1286</v>
      </c>
      <c r="C38" s="727"/>
      <c r="D38" s="622"/>
      <c r="E38" s="622"/>
      <c r="F38" s="622"/>
      <c r="G38" s="622"/>
      <c r="H38" s="622"/>
      <c r="I38" s="622"/>
      <c r="J38" s="622"/>
      <c r="K38" s="622"/>
      <c r="L38" s="622"/>
      <c r="M38" s="622">
        <v>4</v>
      </c>
      <c r="N38" s="622">
        <v>-1</v>
      </c>
      <c r="O38" s="623">
        <f t="shared" si="6"/>
        <v>4</v>
      </c>
      <c r="P38" s="622"/>
      <c r="Q38" s="622"/>
      <c r="R38" s="622"/>
      <c r="S38" s="623">
        <v>4</v>
      </c>
      <c r="T38" s="623">
        <f>N38</f>
        <v>-1</v>
      </c>
      <c r="U38" s="623"/>
      <c r="V38" s="623"/>
      <c r="W38" s="623">
        <f>S38+T38</f>
        <v>3</v>
      </c>
      <c r="X38" s="623"/>
      <c r="Y38" s="623"/>
      <c r="Z38" s="623"/>
      <c r="AA38" s="623">
        <f t="shared" si="5"/>
        <v>4</v>
      </c>
      <c r="AB38" s="623">
        <f>T38</f>
        <v>-1</v>
      </c>
      <c r="AC38" s="623"/>
      <c r="AD38" s="622"/>
      <c r="AE38" s="623">
        <f>D38+J38+O38+R38/2+N38</f>
        <v>3</v>
      </c>
    </row>
    <row r="39" spans="1:34" s="16" customFormat="1" ht="27.75" customHeight="1" x14ac:dyDescent="0.25">
      <c r="A39" s="4" t="s">
        <v>567</v>
      </c>
      <c r="B39" s="726" t="s">
        <v>1288</v>
      </c>
      <c r="C39" s="727"/>
      <c r="D39" s="622"/>
      <c r="E39" s="622"/>
      <c r="F39" s="622"/>
      <c r="G39" s="622"/>
      <c r="H39" s="622"/>
      <c r="I39" s="622"/>
      <c r="J39" s="622"/>
      <c r="K39" s="622"/>
      <c r="L39" s="622"/>
      <c r="M39" s="622">
        <v>1</v>
      </c>
      <c r="N39" s="622"/>
      <c r="O39" s="623">
        <f>SUM(M39:M39)</f>
        <v>1</v>
      </c>
      <c r="P39" s="622"/>
      <c r="Q39" s="622"/>
      <c r="R39" s="622"/>
      <c r="S39" s="623">
        <f>M39</f>
        <v>1</v>
      </c>
      <c r="T39" s="623"/>
      <c r="U39" s="623"/>
      <c r="V39" s="623"/>
      <c r="W39" s="623">
        <f>D39+J39+O39</f>
        <v>1</v>
      </c>
      <c r="X39" s="623"/>
      <c r="Y39" s="623"/>
      <c r="Z39" s="623"/>
      <c r="AA39" s="623">
        <f t="shared" si="5"/>
        <v>1</v>
      </c>
      <c r="AB39" s="623"/>
      <c r="AC39" s="623"/>
      <c r="AD39" s="622"/>
      <c r="AE39" s="623">
        <f>D39+J39+O39+R39/2</f>
        <v>1</v>
      </c>
    </row>
    <row r="40" spans="1:34" s="16" customFormat="1" ht="14.25" customHeight="1" x14ac:dyDescent="0.25">
      <c r="A40" s="4" t="s">
        <v>568</v>
      </c>
      <c r="B40" s="44" t="s">
        <v>680</v>
      </c>
      <c r="C40" s="45"/>
      <c r="D40" s="62"/>
      <c r="E40" s="62"/>
      <c r="F40" s="62"/>
      <c r="G40" s="62"/>
      <c r="H40" s="62"/>
      <c r="I40" s="62"/>
      <c r="J40" s="46"/>
      <c r="K40" s="46"/>
      <c r="L40" s="46"/>
      <c r="M40" s="623">
        <f>SUM(M28:M39)</f>
        <v>64</v>
      </c>
      <c r="N40" s="623">
        <f>SUM(N28:N39)</f>
        <v>2</v>
      </c>
      <c r="O40" s="623">
        <f>SUM(O28:O39)</f>
        <v>66</v>
      </c>
      <c r="P40" s="623">
        <f>SUM(P28:P38)</f>
        <v>1</v>
      </c>
      <c r="Q40" s="623">
        <f>SUM(Q28:Q39)</f>
        <v>-1</v>
      </c>
      <c r="R40" s="623">
        <f>SUM(R28:R38)</f>
        <v>0</v>
      </c>
      <c r="S40" s="623">
        <f>SUM(S28:S39)</f>
        <v>64</v>
      </c>
      <c r="T40" s="623">
        <f>SUM(T28:T39)</f>
        <v>2</v>
      </c>
      <c r="U40" s="623"/>
      <c r="V40" s="623"/>
      <c r="W40" s="623">
        <f>D40+J40+O40</f>
        <v>66</v>
      </c>
      <c r="X40" s="623">
        <f>P40+K40+E40</f>
        <v>1</v>
      </c>
      <c r="Y40" s="623">
        <f>SUM(Y28:Y39)</f>
        <v>-1</v>
      </c>
      <c r="Z40" s="623">
        <f>F40+L40+R40</f>
        <v>0</v>
      </c>
      <c r="AA40" s="730">
        <f t="shared" si="5"/>
        <v>64.5</v>
      </c>
      <c r="AB40" s="730">
        <f>SUM(AB28:AB39)</f>
        <v>1.5</v>
      </c>
      <c r="AC40" s="730"/>
      <c r="AD40" s="623"/>
      <c r="AE40" s="623">
        <f>D40+J40+O40+R40/2</f>
        <v>66</v>
      </c>
    </row>
    <row r="41" spans="1:34" ht="12.75" hidden="1" customHeight="1" x14ac:dyDescent="0.25">
      <c r="A41" s="4" t="s">
        <v>569</v>
      </c>
      <c r="B41" s="63"/>
      <c r="C41" s="64"/>
      <c r="D41" s="65"/>
      <c r="E41" s="65"/>
      <c r="F41" s="65"/>
      <c r="G41" s="65"/>
      <c r="H41" s="65"/>
      <c r="I41" s="65"/>
      <c r="J41" s="66"/>
      <c r="K41" s="66"/>
      <c r="L41" s="66"/>
      <c r="M41" s="66"/>
      <c r="N41" s="66"/>
      <c r="O41" s="46">
        <f>M41</f>
        <v>0</v>
      </c>
      <c r="P41" s="66">
        <f>SUM(P28:P40)</f>
        <v>2</v>
      </c>
      <c r="Q41" s="66"/>
      <c r="R41" s="66"/>
      <c r="S41" s="66"/>
      <c r="T41" s="66"/>
      <c r="U41" s="66"/>
      <c r="V41" s="66"/>
      <c r="W41" s="66"/>
      <c r="X41" s="52"/>
      <c r="Y41" s="52"/>
      <c r="Z41" s="52"/>
      <c r="AA41" s="52"/>
      <c r="AB41" s="52"/>
      <c r="AC41" s="52"/>
      <c r="AD41" s="52"/>
      <c r="AE41" s="407"/>
      <c r="AF41" s="352"/>
    </row>
    <row r="42" spans="1:34" s="27" customFormat="1" ht="14.25" hidden="1" customHeight="1" x14ac:dyDescent="0.25">
      <c r="A42" s="4" t="s">
        <v>570</v>
      </c>
      <c r="B42" s="54"/>
      <c r="C42" s="68"/>
      <c r="D42" s="52"/>
      <c r="E42" s="52"/>
      <c r="F42" s="52"/>
      <c r="G42" s="52"/>
      <c r="H42" s="52"/>
      <c r="I42" s="52"/>
      <c r="J42" s="69"/>
      <c r="K42" s="69"/>
      <c r="L42" s="69"/>
      <c r="M42" s="69"/>
      <c r="N42" s="69"/>
      <c r="O42" s="52"/>
      <c r="P42" s="52"/>
      <c r="Q42" s="52"/>
      <c r="R42" s="52"/>
      <c r="S42" s="52"/>
      <c r="T42" s="52"/>
      <c r="U42" s="52"/>
      <c r="V42" s="52"/>
      <c r="W42" s="69"/>
      <c r="X42" s="69"/>
      <c r="Y42" s="69"/>
      <c r="Z42" s="52"/>
      <c r="AA42" s="52"/>
      <c r="AB42" s="52"/>
      <c r="AC42" s="52"/>
      <c r="AD42" s="52"/>
      <c r="AE42" s="52"/>
    </row>
    <row r="43" spans="1:34" s="27" customFormat="1" ht="14.45" hidden="1" customHeight="1" x14ac:dyDescent="0.25">
      <c r="A43" s="4" t="s">
        <v>571</v>
      </c>
      <c r="B43" s="70"/>
      <c r="C43" s="71"/>
      <c r="D43" s="46"/>
      <c r="E43" s="46"/>
      <c r="F43" s="46"/>
      <c r="G43" s="46"/>
      <c r="H43" s="46"/>
      <c r="I43" s="46"/>
      <c r="J43" s="61"/>
      <c r="K43" s="61"/>
      <c r="L43" s="61"/>
      <c r="M43" s="61"/>
      <c r="N43" s="61"/>
      <c r="O43" s="46"/>
      <c r="P43" s="46"/>
      <c r="Q43" s="46"/>
      <c r="R43" s="46"/>
      <c r="S43" s="46"/>
      <c r="T43" s="46"/>
      <c r="U43" s="46"/>
      <c r="V43" s="46"/>
      <c r="W43" s="61"/>
      <c r="X43" s="61"/>
      <c r="Y43" s="61"/>
      <c r="Z43" s="46"/>
      <c r="AA43" s="46"/>
      <c r="AB43" s="46"/>
      <c r="AC43" s="46"/>
      <c r="AD43" s="46"/>
      <c r="AE43" s="46"/>
    </row>
    <row r="44" spans="1:34" s="27" customFormat="1" ht="14.25" hidden="1" customHeight="1" x14ac:dyDescent="0.25">
      <c r="A44" s="4" t="s">
        <v>572</v>
      </c>
      <c r="B44" s="59"/>
      <c r="C44" s="60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46"/>
      <c r="AA44" s="46"/>
      <c r="AB44" s="46"/>
      <c r="AC44" s="46"/>
      <c r="AD44" s="46"/>
      <c r="AE44" s="46"/>
    </row>
    <row r="45" spans="1:34" s="27" customFormat="1" ht="14.25" hidden="1" customHeight="1" x14ac:dyDescent="0.25">
      <c r="A45" s="4" t="s">
        <v>573</v>
      </c>
      <c r="B45" s="59"/>
      <c r="C45" s="60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46"/>
      <c r="AA45" s="46"/>
      <c r="AB45" s="46"/>
      <c r="AC45" s="46"/>
      <c r="AD45" s="46"/>
      <c r="AE45" s="46"/>
    </row>
    <row r="46" spans="1:34" s="27" customFormat="1" ht="14.25" hidden="1" customHeight="1" x14ac:dyDescent="0.25">
      <c r="A46" s="4" t="s">
        <v>574</v>
      </c>
      <c r="B46" s="59"/>
      <c r="C46" s="60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46"/>
      <c r="AA46" s="46"/>
      <c r="AB46" s="46"/>
      <c r="AC46" s="46"/>
      <c r="AD46" s="46"/>
      <c r="AE46" s="46"/>
    </row>
    <row r="47" spans="1:34" s="27" customFormat="1" ht="14.25" hidden="1" customHeight="1" x14ac:dyDescent="0.25">
      <c r="A47" s="4" t="s">
        <v>575</v>
      </c>
      <c r="B47" s="59"/>
      <c r="C47" s="60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46"/>
      <c r="AA47" s="46"/>
      <c r="AB47" s="46"/>
      <c r="AC47" s="46"/>
      <c r="AD47" s="46"/>
      <c r="AE47" s="46"/>
    </row>
    <row r="48" spans="1:34" s="27" customFormat="1" ht="14.25" hidden="1" customHeight="1" x14ac:dyDescent="0.25">
      <c r="A48" s="4" t="s">
        <v>627</v>
      </c>
      <c r="B48" s="59"/>
      <c r="C48" s="60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46"/>
      <c r="AA48" s="46"/>
      <c r="AB48" s="46"/>
      <c r="AC48" s="46"/>
      <c r="AD48" s="46"/>
      <c r="AE48" s="46"/>
    </row>
    <row r="49" spans="1:31" s="27" customFormat="1" ht="14.25" hidden="1" customHeight="1" x14ac:dyDescent="0.25">
      <c r="A49" s="4" t="s">
        <v>628</v>
      </c>
      <c r="B49" s="59"/>
      <c r="C49" s="60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46"/>
      <c r="AA49" s="46"/>
      <c r="AB49" s="46"/>
      <c r="AC49" s="46"/>
      <c r="AD49" s="46"/>
      <c r="AE49" s="46"/>
    </row>
    <row r="50" spans="1:31" s="27" customFormat="1" ht="14.25" hidden="1" customHeight="1" x14ac:dyDescent="0.25">
      <c r="A50" s="4" t="s">
        <v>629</v>
      </c>
      <c r="B50" s="59"/>
      <c r="C50" s="60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46"/>
      <c r="AB50" s="46"/>
      <c r="AC50" s="46"/>
      <c r="AD50" s="61"/>
      <c r="AE50" s="46"/>
    </row>
    <row r="51" spans="1:31" s="27" customFormat="1" ht="14.25" hidden="1" customHeight="1" x14ac:dyDescent="0.25">
      <c r="A51" s="4" t="s">
        <v>630</v>
      </c>
      <c r="B51" s="59"/>
      <c r="C51" s="60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46"/>
      <c r="AB51" s="46"/>
      <c r="AC51" s="46"/>
      <c r="AD51" s="61"/>
      <c r="AE51" s="46"/>
    </row>
    <row r="52" spans="1:31" s="27" customFormat="1" ht="14.25" hidden="1" customHeight="1" x14ac:dyDescent="0.25">
      <c r="A52" s="4" t="s">
        <v>116</v>
      </c>
      <c r="B52" s="59"/>
      <c r="C52" s="60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46"/>
      <c r="AB52" s="46"/>
      <c r="AC52" s="46"/>
      <c r="AD52" s="61"/>
      <c r="AE52" s="46"/>
    </row>
    <row r="53" spans="1:31" s="27" customFormat="1" ht="14.25" hidden="1" customHeight="1" x14ac:dyDescent="0.25">
      <c r="A53" s="4" t="s">
        <v>655</v>
      </c>
      <c r="B53" s="72"/>
      <c r="C53" s="7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46"/>
      <c r="AA53" s="46"/>
      <c r="AB53" s="46"/>
      <c r="AC53" s="46"/>
      <c r="AD53" s="46"/>
      <c r="AE53" s="46"/>
    </row>
    <row r="54" spans="1:31" s="27" customFormat="1" ht="14.25" hidden="1" customHeight="1" x14ac:dyDescent="0.25">
      <c r="A54" s="4" t="s">
        <v>656</v>
      </c>
      <c r="B54" s="59"/>
      <c r="C54" s="60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46"/>
      <c r="AA54" s="46"/>
      <c r="AB54" s="46"/>
      <c r="AC54" s="46"/>
      <c r="AD54" s="46"/>
      <c r="AE54" s="46"/>
    </row>
    <row r="55" spans="1:31" s="27" customFormat="1" ht="14.25" hidden="1" customHeight="1" x14ac:dyDescent="0.25">
      <c r="A55" s="4" t="s">
        <v>119</v>
      </c>
      <c r="B55" s="59"/>
      <c r="C55" s="60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46"/>
      <c r="AA55" s="46"/>
      <c r="AB55" s="46"/>
      <c r="AC55" s="46"/>
      <c r="AD55" s="46"/>
      <c r="AE55" s="46"/>
    </row>
    <row r="56" spans="1:31" s="27" customFormat="1" ht="14.25" hidden="1" customHeight="1" x14ac:dyDescent="0.25">
      <c r="A56" s="4" t="s">
        <v>120</v>
      </c>
      <c r="B56" s="59"/>
      <c r="C56" s="60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46"/>
      <c r="AA56" s="46"/>
      <c r="AB56" s="46"/>
      <c r="AC56" s="46"/>
      <c r="AD56" s="46"/>
      <c r="AE56" s="46"/>
    </row>
    <row r="57" spans="1:31" s="27" customFormat="1" ht="14.25" hidden="1" customHeight="1" x14ac:dyDescent="0.25">
      <c r="A57" s="4" t="s">
        <v>121</v>
      </c>
      <c r="B57" s="72"/>
      <c r="C57" s="7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46"/>
      <c r="AA57" s="46"/>
      <c r="AB57" s="46"/>
      <c r="AC57" s="46"/>
      <c r="AD57" s="46"/>
      <c r="AE57" s="46"/>
    </row>
    <row r="58" spans="1:31" s="27" customFormat="1" ht="14.25" hidden="1" customHeight="1" x14ac:dyDescent="0.25">
      <c r="A58" s="4" t="s">
        <v>124</v>
      </c>
      <c r="B58" s="59"/>
      <c r="C58" s="60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46"/>
      <c r="AA58" s="46"/>
      <c r="AB58" s="46"/>
      <c r="AC58" s="46"/>
      <c r="AD58" s="46"/>
      <c r="AE58" s="46"/>
    </row>
    <row r="59" spans="1:31" s="27" customFormat="1" ht="14.25" hidden="1" customHeight="1" x14ac:dyDescent="0.25">
      <c r="A59" s="4" t="s">
        <v>127</v>
      </c>
      <c r="B59" s="59"/>
      <c r="C59" s="60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46"/>
      <c r="AA59" s="46"/>
      <c r="AB59" s="46"/>
      <c r="AC59" s="46"/>
      <c r="AD59" s="46"/>
      <c r="AE59" s="46"/>
    </row>
    <row r="60" spans="1:31" s="27" customFormat="1" ht="14.45" hidden="1" customHeight="1" x14ac:dyDescent="0.25">
      <c r="A60" s="4" t="s">
        <v>128</v>
      </c>
      <c r="B60" s="72"/>
      <c r="C60" s="7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46"/>
      <c r="AA60" s="46"/>
      <c r="AB60" s="46"/>
      <c r="AC60" s="46"/>
      <c r="AD60" s="46"/>
      <c r="AE60" s="46"/>
    </row>
    <row r="61" spans="1:31" s="27" customFormat="1" ht="14.45" hidden="1" customHeight="1" x14ac:dyDescent="0.25">
      <c r="A61" s="4" t="s">
        <v>129</v>
      </c>
      <c r="B61" s="59"/>
      <c r="C61" s="60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46"/>
      <c r="AA61" s="46"/>
      <c r="AB61" s="46"/>
      <c r="AC61" s="46"/>
      <c r="AD61" s="46"/>
      <c r="AE61" s="46"/>
    </row>
    <row r="62" spans="1:31" s="27" customFormat="1" ht="14.45" hidden="1" customHeight="1" x14ac:dyDescent="0.25">
      <c r="A62" s="4" t="s">
        <v>130</v>
      </c>
      <c r="B62" s="59"/>
      <c r="C62" s="60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46"/>
      <c r="AA62" s="46"/>
      <c r="AB62" s="46"/>
      <c r="AC62" s="46"/>
      <c r="AD62" s="46"/>
      <c r="AE62" s="46"/>
    </row>
    <row r="63" spans="1:31" s="27" customFormat="1" ht="14.45" hidden="1" customHeight="1" x14ac:dyDescent="0.25">
      <c r="A63" s="4" t="s">
        <v>133</v>
      </c>
      <c r="B63" s="59"/>
      <c r="C63" s="60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46"/>
      <c r="AA63" s="46"/>
      <c r="AB63" s="46"/>
      <c r="AC63" s="46"/>
      <c r="AD63" s="46"/>
      <c r="AE63" s="46"/>
    </row>
    <row r="64" spans="1:31" s="27" customFormat="1" ht="14.45" hidden="1" customHeight="1" x14ac:dyDescent="0.25">
      <c r="A64" s="4" t="s">
        <v>136</v>
      </c>
      <c r="B64" s="44"/>
      <c r="C64" s="45"/>
      <c r="D64" s="62"/>
      <c r="E64" s="62"/>
      <c r="F64" s="62"/>
      <c r="G64" s="62"/>
      <c r="H64" s="62"/>
      <c r="I64" s="62"/>
      <c r="J64" s="61"/>
      <c r="K64" s="61"/>
      <c r="L64" s="61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7"/>
      <c r="AB64" s="47"/>
      <c r="AC64" s="47"/>
      <c r="AD64" s="46"/>
      <c r="AE64" s="46"/>
    </row>
    <row r="65" spans="1:31" s="27" customFormat="1" ht="14.45" customHeight="1" x14ac:dyDescent="0.25">
      <c r="A65" s="4"/>
      <c r="B65" s="422"/>
      <c r="C65" s="423"/>
      <c r="D65" s="100"/>
      <c r="E65" s="100"/>
      <c r="F65" s="100"/>
      <c r="G65" s="100"/>
      <c r="H65" s="100"/>
      <c r="I65" s="100"/>
      <c r="J65" s="424"/>
      <c r="K65" s="424"/>
      <c r="L65" s="424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  <c r="AA65" s="425"/>
      <c r="AB65" s="425"/>
      <c r="AC65" s="425"/>
      <c r="AD65" s="101"/>
      <c r="AE65" s="101"/>
    </row>
    <row r="66" spans="1:31" s="27" customFormat="1" ht="14.45" customHeight="1" x14ac:dyDescent="0.25">
      <c r="A66" s="4"/>
      <c r="B66" s="74"/>
      <c r="C66" s="68"/>
      <c r="D66" s="51"/>
      <c r="E66" s="51"/>
      <c r="F66" s="51"/>
      <c r="G66" s="51"/>
      <c r="H66" s="51"/>
      <c r="I66" s="51"/>
      <c r="J66" s="69"/>
      <c r="K66" s="69"/>
      <c r="L66" s="69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184"/>
      <c r="AB66" s="184"/>
      <c r="AC66" s="184"/>
      <c r="AD66" s="52"/>
      <c r="AE66" s="52"/>
    </row>
    <row r="67" spans="1:31" s="27" customFormat="1" ht="14.45" customHeight="1" x14ac:dyDescent="0.25">
      <c r="A67" s="4"/>
      <c r="B67" s="74"/>
      <c r="C67" s="68"/>
      <c r="D67" s="51"/>
      <c r="E67" s="51"/>
      <c r="F67" s="51"/>
      <c r="G67" s="51"/>
      <c r="H67" s="51"/>
      <c r="I67" s="51"/>
      <c r="J67" s="69"/>
      <c r="K67" s="69"/>
      <c r="L67" s="69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184"/>
      <c r="AB67" s="184"/>
      <c r="AC67" s="184"/>
      <c r="AD67" s="52"/>
      <c r="AE67" s="52"/>
    </row>
    <row r="68" spans="1:31" s="27" customFormat="1" ht="14.45" customHeight="1" x14ac:dyDescent="0.25">
      <c r="A68" s="4" t="s">
        <v>569</v>
      </c>
      <c r="B68" s="29" t="s">
        <v>695</v>
      </c>
      <c r="C68" s="68"/>
      <c r="D68" s="51"/>
      <c r="E68" s="51"/>
      <c r="F68" s="51"/>
      <c r="G68" s="51"/>
      <c r="H68" s="51"/>
      <c r="I68" s="51"/>
      <c r="J68" s="69"/>
      <c r="K68" s="69"/>
      <c r="L68" s="69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184"/>
      <c r="AB68" s="184"/>
      <c r="AC68" s="184"/>
      <c r="AD68" s="52"/>
      <c r="AE68" s="52"/>
    </row>
    <row r="69" spans="1:31" s="27" customFormat="1" ht="14.45" customHeight="1" x14ac:dyDescent="0.25">
      <c r="A69" s="4" t="s">
        <v>570</v>
      </c>
      <c r="B69" s="427" t="s">
        <v>696</v>
      </c>
      <c r="C69" s="186"/>
      <c r="D69" s="187"/>
      <c r="E69" s="187"/>
      <c r="F69" s="187"/>
      <c r="G69" s="187"/>
      <c r="H69" s="187"/>
      <c r="I69" s="187"/>
      <c r="J69" s="188"/>
      <c r="K69" s="188"/>
      <c r="L69" s="188"/>
      <c r="M69" s="189"/>
      <c r="N69" s="189"/>
      <c r="O69" s="189"/>
      <c r="P69" s="189"/>
      <c r="Q69" s="189"/>
      <c r="R69" s="189"/>
      <c r="S69" s="189"/>
      <c r="T69" s="189"/>
      <c r="U69" s="189"/>
      <c r="V69" s="189"/>
      <c r="W69" s="189"/>
      <c r="X69" s="189"/>
      <c r="Y69" s="189"/>
      <c r="Z69" s="189"/>
      <c r="AA69" s="426"/>
      <c r="AB69" s="426"/>
      <c r="AC69" s="426"/>
      <c r="AD69" s="426"/>
      <c r="AE69" s="426"/>
    </row>
    <row r="70" spans="1:31" s="27" customFormat="1" ht="14.45" customHeight="1" x14ac:dyDescent="0.25">
      <c r="A70" s="4" t="s">
        <v>571</v>
      </c>
      <c r="B70" s="421" t="s">
        <v>697</v>
      </c>
      <c r="C70" s="186"/>
      <c r="D70" s="187"/>
      <c r="E70" s="187"/>
      <c r="F70" s="187"/>
      <c r="G70" s="187"/>
      <c r="H70" s="187"/>
      <c r="I70" s="187"/>
      <c r="J70" s="188"/>
      <c r="K70" s="188"/>
      <c r="L70" s="188"/>
      <c r="M70" s="189">
        <v>1</v>
      </c>
      <c r="N70" s="189"/>
      <c r="O70" s="189">
        <f t="shared" ref="O70:O78" si="7">M70</f>
        <v>1</v>
      </c>
      <c r="P70" s="189"/>
      <c r="Q70" s="189"/>
      <c r="R70" s="189"/>
      <c r="S70" s="189">
        <v>1</v>
      </c>
      <c r="T70" s="189"/>
      <c r="U70" s="189"/>
      <c r="V70" s="189"/>
      <c r="W70" s="189">
        <f t="shared" ref="W70:W78" si="8">D70+J70+O70</f>
        <v>1</v>
      </c>
      <c r="X70" s="189"/>
      <c r="Y70" s="189"/>
      <c r="Z70" s="189"/>
      <c r="AA70" s="426">
        <f t="shared" ref="AA70:AA78" si="9">S70+X70/2</f>
        <v>1</v>
      </c>
      <c r="AB70" s="426"/>
      <c r="AC70" s="426"/>
      <c r="AD70" s="426"/>
      <c r="AE70" s="426">
        <f t="shared" ref="AE70:AE78" si="10">W70+Z70/2</f>
        <v>1</v>
      </c>
    </row>
    <row r="71" spans="1:31" s="27" customFormat="1" ht="14.45" customHeight="1" x14ac:dyDescent="0.25">
      <c r="A71" s="4" t="s">
        <v>572</v>
      </c>
      <c r="B71" s="421" t="s">
        <v>698</v>
      </c>
      <c r="C71" s="186"/>
      <c r="D71" s="187"/>
      <c r="E71" s="187"/>
      <c r="F71" s="187"/>
      <c r="G71" s="187"/>
      <c r="H71" s="187"/>
      <c r="I71" s="187"/>
      <c r="J71" s="188"/>
      <c r="K71" s="188"/>
      <c r="L71" s="188"/>
      <c r="M71" s="189">
        <v>1</v>
      </c>
      <c r="N71" s="189"/>
      <c r="O71" s="189">
        <f t="shared" si="7"/>
        <v>1</v>
      </c>
      <c r="P71" s="189"/>
      <c r="Q71" s="189"/>
      <c r="R71" s="189"/>
      <c r="S71" s="189">
        <v>1</v>
      </c>
      <c r="T71" s="189"/>
      <c r="U71" s="189"/>
      <c r="V71" s="189"/>
      <c r="W71" s="189">
        <f t="shared" si="8"/>
        <v>1</v>
      </c>
      <c r="X71" s="189"/>
      <c r="Y71" s="189"/>
      <c r="Z71" s="189"/>
      <c r="AA71" s="426">
        <f t="shared" si="9"/>
        <v>1</v>
      </c>
      <c r="AB71" s="426"/>
      <c r="AC71" s="426"/>
      <c r="AD71" s="426"/>
      <c r="AE71" s="426">
        <f t="shared" si="10"/>
        <v>1</v>
      </c>
    </row>
    <row r="72" spans="1:31" s="27" customFormat="1" ht="14.45" customHeight="1" x14ac:dyDescent="0.25">
      <c r="A72" s="4" t="s">
        <v>573</v>
      </c>
      <c r="B72" s="421" t="s">
        <v>699</v>
      </c>
      <c r="C72" s="186"/>
      <c r="D72" s="187"/>
      <c r="E72" s="187"/>
      <c r="F72" s="187"/>
      <c r="G72" s="187"/>
      <c r="H72" s="187"/>
      <c r="I72" s="187"/>
      <c r="J72" s="188"/>
      <c r="K72" s="188"/>
      <c r="L72" s="188"/>
      <c r="M72" s="189">
        <v>2</v>
      </c>
      <c r="N72" s="189"/>
      <c r="O72" s="189">
        <f t="shared" si="7"/>
        <v>2</v>
      </c>
      <c r="P72" s="189"/>
      <c r="Q72" s="189"/>
      <c r="R72" s="189"/>
      <c r="S72" s="189">
        <v>2</v>
      </c>
      <c r="T72" s="189"/>
      <c r="U72" s="189"/>
      <c r="V72" s="189"/>
      <c r="W72" s="189">
        <f t="shared" si="8"/>
        <v>2</v>
      </c>
      <c r="X72" s="189"/>
      <c r="Y72" s="189"/>
      <c r="Z72" s="189"/>
      <c r="AA72" s="426">
        <f t="shared" si="9"/>
        <v>2</v>
      </c>
      <c r="AB72" s="426"/>
      <c r="AC72" s="426"/>
      <c r="AD72" s="426"/>
      <c r="AE72" s="426">
        <f t="shared" si="10"/>
        <v>2</v>
      </c>
    </row>
    <row r="73" spans="1:31" s="27" customFormat="1" ht="14.45" customHeight="1" x14ac:dyDescent="0.25">
      <c r="A73" s="4" t="s">
        <v>574</v>
      </c>
      <c r="B73" s="421" t="s">
        <v>700</v>
      </c>
      <c r="C73" s="186"/>
      <c r="D73" s="187"/>
      <c r="E73" s="187"/>
      <c r="F73" s="187"/>
      <c r="G73" s="187"/>
      <c r="H73" s="187"/>
      <c r="I73" s="187"/>
      <c r="J73" s="188"/>
      <c r="K73" s="188"/>
      <c r="L73" s="188"/>
      <c r="M73" s="189">
        <v>1</v>
      </c>
      <c r="N73" s="189"/>
      <c r="O73" s="189">
        <f t="shared" si="7"/>
        <v>1</v>
      </c>
      <c r="P73" s="189"/>
      <c r="Q73" s="189"/>
      <c r="R73" s="189"/>
      <c r="S73" s="189">
        <v>1</v>
      </c>
      <c r="T73" s="189"/>
      <c r="U73" s="189"/>
      <c r="V73" s="189"/>
      <c r="W73" s="189">
        <f t="shared" si="8"/>
        <v>1</v>
      </c>
      <c r="X73" s="189"/>
      <c r="Y73" s="189"/>
      <c r="Z73" s="189"/>
      <c r="AA73" s="426">
        <f t="shared" si="9"/>
        <v>1</v>
      </c>
      <c r="AB73" s="426"/>
      <c r="AC73" s="426"/>
      <c r="AD73" s="426"/>
      <c r="AE73" s="426">
        <f t="shared" si="10"/>
        <v>1</v>
      </c>
    </row>
    <row r="74" spans="1:31" s="27" customFormat="1" ht="14.45" customHeight="1" x14ac:dyDescent="0.25">
      <c r="A74" s="4" t="s">
        <v>575</v>
      </c>
      <c r="B74" s="421" t="s">
        <v>701</v>
      </c>
      <c r="C74" s="186"/>
      <c r="D74" s="187"/>
      <c r="E74" s="187"/>
      <c r="F74" s="187"/>
      <c r="G74" s="187"/>
      <c r="H74" s="187"/>
      <c r="I74" s="187"/>
      <c r="J74" s="188"/>
      <c r="K74" s="188"/>
      <c r="L74" s="188"/>
      <c r="M74" s="189">
        <v>1</v>
      </c>
      <c r="N74" s="189"/>
      <c r="O74" s="189">
        <f t="shared" si="7"/>
        <v>1</v>
      </c>
      <c r="P74" s="189"/>
      <c r="Q74" s="189"/>
      <c r="R74" s="189"/>
      <c r="S74" s="189">
        <v>1</v>
      </c>
      <c r="T74" s="189"/>
      <c r="U74" s="189"/>
      <c r="V74" s="189"/>
      <c r="W74" s="189">
        <f t="shared" si="8"/>
        <v>1</v>
      </c>
      <c r="X74" s="189"/>
      <c r="Y74" s="189"/>
      <c r="Z74" s="189"/>
      <c r="AA74" s="426">
        <f t="shared" si="9"/>
        <v>1</v>
      </c>
      <c r="AB74" s="426"/>
      <c r="AC74" s="426"/>
      <c r="AD74" s="426"/>
      <c r="AE74" s="426">
        <f t="shared" si="10"/>
        <v>1</v>
      </c>
    </row>
    <row r="75" spans="1:31" s="27" customFormat="1" ht="14.45" customHeight="1" x14ac:dyDescent="0.25">
      <c r="A75" s="4" t="s">
        <v>627</v>
      </c>
      <c r="B75" s="421" t="s">
        <v>1061</v>
      </c>
      <c r="C75" s="186"/>
      <c r="D75" s="187"/>
      <c r="E75" s="187"/>
      <c r="F75" s="187"/>
      <c r="G75" s="187"/>
      <c r="H75" s="187"/>
      <c r="I75" s="187"/>
      <c r="J75" s="188"/>
      <c r="K75" s="188"/>
      <c r="L75" s="188"/>
      <c r="M75" s="189">
        <v>1</v>
      </c>
      <c r="N75" s="189"/>
      <c r="O75" s="189">
        <f t="shared" si="7"/>
        <v>1</v>
      </c>
      <c r="P75" s="189"/>
      <c r="Q75" s="189"/>
      <c r="R75" s="189"/>
      <c r="S75" s="189">
        <v>1</v>
      </c>
      <c r="T75" s="189"/>
      <c r="U75" s="189"/>
      <c r="V75" s="189"/>
      <c r="W75" s="189">
        <f t="shared" si="8"/>
        <v>1</v>
      </c>
      <c r="X75" s="189"/>
      <c r="Y75" s="189"/>
      <c r="Z75" s="189"/>
      <c r="AA75" s="426">
        <f t="shared" si="9"/>
        <v>1</v>
      </c>
      <c r="AB75" s="426"/>
      <c r="AC75" s="426"/>
      <c r="AD75" s="426"/>
      <c r="AE75" s="426">
        <f t="shared" si="10"/>
        <v>1</v>
      </c>
    </row>
    <row r="76" spans="1:31" s="27" customFormat="1" ht="14.45" customHeight="1" x14ac:dyDescent="0.25">
      <c r="A76" s="4" t="s">
        <v>628</v>
      </c>
      <c r="B76" s="421" t="s">
        <v>1062</v>
      </c>
      <c r="C76" s="186"/>
      <c r="D76" s="187"/>
      <c r="E76" s="187"/>
      <c r="F76" s="187"/>
      <c r="G76" s="187"/>
      <c r="H76" s="187"/>
      <c r="I76" s="187"/>
      <c r="J76" s="188"/>
      <c r="K76" s="188"/>
      <c r="L76" s="188"/>
      <c r="M76" s="189">
        <v>1</v>
      </c>
      <c r="N76" s="189"/>
      <c r="O76" s="189">
        <f t="shared" si="7"/>
        <v>1</v>
      </c>
      <c r="P76" s="189"/>
      <c r="Q76" s="189"/>
      <c r="R76" s="189"/>
      <c r="S76" s="189">
        <v>1</v>
      </c>
      <c r="T76" s="189"/>
      <c r="U76" s="189"/>
      <c r="V76" s="189"/>
      <c r="W76" s="189">
        <f t="shared" si="8"/>
        <v>1</v>
      </c>
      <c r="X76" s="189"/>
      <c r="Y76" s="189"/>
      <c r="Z76" s="189"/>
      <c r="AA76" s="426">
        <f t="shared" si="9"/>
        <v>1</v>
      </c>
      <c r="AB76" s="426"/>
      <c r="AC76" s="426"/>
      <c r="AD76" s="426"/>
      <c r="AE76" s="426">
        <f t="shared" si="10"/>
        <v>1</v>
      </c>
    </row>
    <row r="77" spans="1:31" s="27" customFormat="1" ht="14.45" customHeight="1" x14ac:dyDescent="0.25">
      <c r="A77" s="4" t="s">
        <v>629</v>
      </c>
      <c r="B77" s="421" t="s">
        <v>702</v>
      </c>
      <c r="C77" s="186"/>
      <c r="D77" s="187"/>
      <c r="E77" s="187"/>
      <c r="F77" s="187"/>
      <c r="G77" s="187"/>
      <c r="H77" s="187"/>
      <c r="I77" s="187"/>
      <c r="J77" s="188"/>
      <c r="K77" s="188"/>
      <c r="L77" s="188"/>
      <c r="M77" s="189">
        <v>1</v>
      </c>
      <c r="N77" s="189"/>
      <c r="O77" s="189">
        <f t="shared" si="7"/>
        <v>1</v>
      </c>
      <c r="P77" s="189"/>
      <c r="Q77" s="189"/>
      <c r="R77" s="189"/>
      <c r="S77" s="189">
        <v>1</v>
      </c>
      <c r="T77" s="189"/>
      <c r="U77" s="189"/>
      <c r="V77" s="189"/>
      <c r="W77" s="189">
        <f t="shared" si="8"/>
        <v>1</v>
      </c>
      <c r="X77" s="189"/>
      <c r="Y77" s="189"/>
      <c r="Z77" s="189"/>
      <c r="AA77" s="426">
        <f t="shared" si="9"/>
        <v>1</v>
      </c>
      <c r="AB77" s="426"/>
      <c r="AC77" s="426"/>
      <c r="AD77" s="426"/>
      <c r="AE77" s="426">
        <f t="shared" si="10"/>
        <v>1</v>
      </c>
    </row>
    <row r="78" spans="1:31" s="27" customFormat="1" ht="14.45" customHeight="1" x14ac:dyDescent="0.25">
      <c r="A78" s="4" t="s">
        <v>630</v>
      </c>
      <c r="B78" s="421" t="s">
        <v>703</v>
      </c>
      <c r="C78" s="186"/>
      <c r="D78" s="187"/>
      <c r="E78" s="187"/>
      <c r="F78" s="187"/>
      <c r="G78" s="187"/>
      <c r="H78" s="187"/>
      <c r="I78" s="187"/>
      <c r="J78" s="188"/>
      <c r="K78" s="188"/>
      <c r="L78" s="188"/>
      <c r="M78" s="189">
        <v>1</v>
      </c>
      <c r="N78" s="189"/>
      <c r="O78" s="189">
        <f t="shared" si="7"/>
        <v>1</v>
      </c>
      <c r="P78" s="189"/>
      <c r="Q78" s="189"/>
      <c r="R78" s="189"/>
      <c r="S78" s="189">
        <v>1</v>
      </c>
      <c r="T78" s="189"/>
      <c r="U78" s="189"/>
      <c r="V78" s="189"/>
      <c r="W78" s="189">
        <f t="shared" si="8"/>
        <v>1</v>
      </c>
      <c r="X78" s="189"/>
      <c r="Y78" s="189"/>
      <c r="Z78" s="189"/>
      <c r="AA78" s="426">
        <f t="shared" si="9"/>
        <v>1</v>
      </c>
      <c r="AB78" s="426"/>
      <c r="AC78" s="426"/>
      <c r="AD78" s="426"/>
      <c r="AE78" s="426">
        <f t="shared" si="10"/>
        <v>1</v>
      </c>
    </row>
    <row r="79" spans="1:31" s="27" customFormat="1" ht="14.45" customHeight="1" x14ac:dyDescent="0.25">
      <c r="A79" s="4" t="s">
        <v>116</v>
      </c>
      <c r="B79" s="427" t="s">
        <v>704</v>
      </c>
      <c r="C79" s="186"/>
      <c r="D79" s="187"/>
      <c r="E79" s="187"/>
      <c r="F79" s="187"/>
      <c r="G79" s="187"/>
      <c r="H79" s="187"/>
      <c r="I79" s="187"/>
      <c r="J79" s="188"/>
      <c r="K79" s="188"/>
      <c r="L79" s="188"/>
      <c r="M79" s="189"/>
      <c r="N79" s="189"/>
      <c r="O79" s="189"/>
      <c r="P79" s="189"/>
      <c r="Q79" s="189"/>
      <c r="R79" s="189"/>
      <c r="S79" s="189"/>
      <c r="T79" s="189"/>
      <c r="U79" s="189"/>
      <c r="V79" s="189"/>
      <c r="W79" s="189"/>
      <c r="X79" s="189"/>
      <c r="Y79" s="189"/>
      <c r="Z79" s="189"/>
      <c r="AA79" s="426"/>
      <c r="AB79" s="426"/>
      <c r="AC79" s="426"/>
      <c r="AD79" s="426"/>
      <c r="AE79" s="426"/>
    </row>
    <row r="80" spans="1:31" s="27" customFormat="1" ht="14.45" customHeight="1" x14ac:dyDescent="0.25">
      <c r="A80" s="4" t="s">
        <v>655</v>
      </c>
      <c r="B80" s="421" t="s">
        <v>705</v>
      </c>
      <c r="C80" s="186"/>
      <c r="D80" s="187"/>
      <c r="E80" s="187"/>
      <c r="F80" s="187"/>
      <c r="G80" s="187"/>
      <c r="H80" s="187"/>
      <c r="I80" s="187"/>
      <c r="J80" s="188"/>
      <c r="K80" s="188"/>
      <c r="L80" s="188"/>
      <c r="M80" s="189">
        <v>1</v>
      </c>
      <c r="N80" s="189"/>
      <c r="O80" s="189">
        <f t="shared" ref="O80:O87" si="11">M80</f>
        <v>1</v>
      </c>
      <c r="P80" s="189"/>
      <c r="Q80" s="189"/>
      <c r="R80" s="189"/>
      <c r="S80" s="189">
        <v>1</v>
      </c>
      <c r="T80" s="189"/>
      <c r="U80" s="189"/>
      <c r="V80" s="189"/>
      <c r="W80" s="189">
        <f t="shared" ref="W80:W87" si="12">D80+J80+O80</f>
        <v>1</v>
      </c>
      <c r="X80" s="189"/>
      <c r="Y80" s="189"/>
      <c r="Z80" s="189"/>
      <c r="AA80" s="426">
        <f t="shared" ref="AA80:AA87" si="13">S80+X80/2</f>
        <v>1</v>
      </c>
      <c r="AB80" s="426"/>
      <c r="AC80" s="426"/>
      <c r="AD80" s="426"/>
      <c r="AE80" s="426">
        <f t="shared" ref="AE80:AE87" si="14">W80+Z80/2</f>
        <v>1</v>
      </c>
    </row>
    <row r="81" spans="1:31" s="27" customFormat="1" ht="14.45" customHeight="1" x14ac:dyDescent="0.25">
      <c r="A81" s="4" t="s">
        <v>656</v>
      </c>
      <c r="B81" s="421" t="s">
        <v>706</v>
      </c>
      <c r="C81" s="186"/>
      <c r="D81" s="187"/>
      <c r="E81" s="187"/>
      <c r="F81" s="187"/>
      <c r="G81" s="187"/>
      <c r="H81" s="187"/>
      <c r="I81" s="187"/>
      <c r="J81" s="188"/>
      <c r="K81" s="188"/>
      <c r="L81" s="188"/>
      <c r="M81" s="189">
        <v>1</v>
      </c>
      <c r="N81" s="189"/>
      <c r="O81" s="189">
        <f t="shared" si="11"/>
        <v>1</v>
      </c>
      <c r="P81" s="189"/>
      <c r="Q81" s="189"/>
      <c r="R81" s="189"/>
      <c r="S81" s="189">
        <v>1</v>
      </c>
      <c r="T81" s="189"/>
      <c r="U81" s="189"/>
      <c r="V81" s="189"/>
      <c r="W81" s="189">
        <f t="shared" si="12"/>
        <v>1</v>
      </c>
      <c r="X81" s="189"/>
      <c r="Y81" s="189"/>
      <c r="Z81" s="189"/>
      <c r="AA81" s="426">
        <f t="shared" si="13"/>
        <v>1</v>
      </c>
      <c r="AB81" s="426"/>
      <c r="AC81" s="426"/>
      <c r="AD81" s="426"/>
      <c r="AE81" s="426">
        <f t="shared" si="14"/>
        <v>1</v>
      </c>
    </row>
    <row r="82" spans="1:31" s="27" customFormat="1" ht="14.45" customHeight="1" x14ac:dyDescent="0.25">
      <c r="A82" s="4" t="s">
        <v>119</v>
      </c>
      <c r="B82" s="421" t="s">
        <v>707</v>
      </c>
      <c r="C82" s="186"/>
      <c r="D82" s="187"/>
      <c r="E82" s="187"/>
      <c r="F82" s="187"/>
      <c r="G82" s="187"/>
      <c r="H82" s="187"/>
      <c r="I82" s="187"/>
      <c r="J82" s="188"/>
      <c r="K82" s="188"/>
      <c r="L82" s="188"/>
      <c r="M82" s="189">
        <v>1</v>
      </c>
      <c r="N82" s="189"/>
      <c r="O82" s="189">
        <f t="shared" si="11"/>
        <v>1</v>
      </c>
      <c r="P82" s="189"/>
      <c r="Q82" s="189"/>
      <c r="R82" s="189"/>
      <c r="S82" s="189">
        <v>1</v>
      </c>
      <c r="T82" s="189"/>
      <c r="U82" s="189"/>
      <c r="V82" s="189"/>
      <c r="W82" s="189">
        <f t="shared" si="12"/>
        <v>1</v>
      </c>
      <c r="X82" s="189"/>
      <c r="Y82" s="189"/>
      <c r="Z82" s="189"/>
      <c r="AA82" s="426">
        <f t="shared" si="13"/>
        <v>1</v>
      </c>
      <c r="AB82" s="426"/>
      <c r="AC82" s="426"/>
      <c r="AD82" s="426"/>
      <c r="AE82" s="426">
        <f t="shared" si="14"/>
        <v>1</v>
      </c>
    </row>
    <row r="83" spans="1:31" s="27" customFormat="1" ht="14.45" customHeight="1" x14ac:dyDescent="0.25">
      <c r="A83" s="4" t="s">
        <v>120</v>
      </c>
      <c r="B83" s="427" t="s">
        <v>708</v>
      </c>
      <c r="C83" s="186"/>
      <c r="D83" s="187"/>
      <c r="E83" s="187"/>
      <c r="F83" s="187"/>
      <c r="G83" s="187"/>
      <c r="H83" s="187"/>
      <c r="I83" s="187"/>
      <c r="J83" s="188"/>
      <c r="K83" s="188"/>
      <c r="L83" s="188"/>
      <c r="M83" s="189"/>
      <c r="N83" s="189"/>
      <c r="O83" s="189">
        <f t="shared" si="11"/>
        <v>0</v>
      </c>
      <c r="P83" s="189"/>
      <c r="Q83" s="189"/>
      <c r="R83" s="189"/>
      <c r="S83" s="189"/>
      <c r="T83" s="189"/>
      <c r="U83" s="189"/>
      <c r="V83" s="189"/>
      <c r="W83" s="189">
        <f t="shared" si="12"/>
        <v>0</v>
      </c>
      <c r="X83" s="189"/>
      <c r="Y83" s="189"/>
      <c r="Z83" s="189"/>
      <c r="AA83" s="426">
        <f t="shared" si="13"/>
        <v>0</v>
      </c>
      <c r="AB83" s="426"/>
      <c r="AC83" s="426"/>
      <c r="AD83" s="426"/>
      <c r="AE83" s="426">
        <f t="shared" si="14"/>
        <v>0</v>
      </c>
    </row>
    <row r="84" spans="1:31" s="27" customFormat="1" ht="14.45" customHeight="1" x14ac:dyDescent="0.25">
      <c r="A84" s="4" t="s">
        <v>121</v>
      </c>
      <c r="B84" s="421" t="s">
        <v>709</v>
      </c>
      <c r="C84" s="186"/>
      <c r="D84" s="187"/>
      <c r="E84" s="187"/>
      <c r="F84" s="187"/>
      <c r="G84" s="187"/>
      <c r="H84" s="187"/>
      <c r="I84" s="187"/>
      <c r="J84" s="188"/>
      <c r="K84" s="188"/>
      <c r="L84" s="188"/>
      <c r="M84" s="189">
        <v>1</v>
      </c>
      <c r="N84" s="189"/>
      <c r="O84" s="189">
        <f t="shared" si="11"/>
        <v>1</v>
      </c>
      <c r="P84" s="189"/>
      <c r="Q84" s="189"/>
      <c r="R84" s="189"/>
      <c r="S84" s="189">
        <v>1</v>
      </c>
      <c r="T84" s="189"/>
      <c r="U84" s="189"/>
      <c r="V84" s="189"/>
      <c r="W84" s="189">
        <f t="shared" si="12"/>
        <v>1</v>
      </c>
      <c r="X84" s="189"/>
      <c r="Y84" s="189"/>
      <c r="Z84" s="189"/>
      <c r="AA84" s="426">
        <f t="shared" si="13"/>
        <v>1</v>
      </c>
      <c r="AB84" s="426"/>
      <c r="AC84" s="426"/>
      <c r="AD84" s="426"/>
      <c r="AE84" s="426">
        <f t="shared" si="14"/>
        <v>1</v>
      </c>
    </row>
    <row r="85" spans="1:31" s="27" customFormat="1" ht="14.45" customHeight="1" x14ac:dyDescent="0.25">
      <c r="A85" s="4" t="s">
        <v>124</v>
      </c>
      <c r="B85" s="421" t="s">
        <v>710</v>
      </c>
      <c r="C85" s="186"/>
      <c r="D85" s="187"/>
      <c r="E85" s="187"/>
      <c r="F85" s="187"/>
      <c r="G85" s="187"/>
      <c r="H85" s="187"/>
      <c r="I85" s="187"/>
      <c r="J85" s="188"/>
      <c r="K85" s="188"/>
      <c r="L85" s="188"/>
      <c r="M85" s="189">
        <v>1</v>
      </c>
      <c r="N85" s="189"/>
      <c r="O85" s="189">
        <f t="shared" si="11"/>
        <v>1</v>
      </c>
      <c r="P85" s="189"/>
      <c r="Q85" s="189"/>
      <c r="R85" s="189"/>
      <c r="S85" s="189">
        <v>1</v>
      </c>
      <c r="T85" s="189"/>
      <c r="U85" s="189"/>
      <c r="V85" s="189"/>
      <c r="W85" s="189">
        <f t="shared" si="12"/>
        <v>1</v>
      </c>
      <c r="X85" s="189"/>
      <c r="Y85" s="189"/>
      <c r="Z85" s="189"/>
      <c r="AA85" s="426">
        <f t="shared" si="13"/>
        <v>1</v>
      </c>
      <c r="AB85" s="426"/>
      <c r="AC85" s="426"/>
      <c r="AD85" s="426"/>
      <c r="AE85" s="426">
        <f t="shared" si="14"/>
        <v>1</v>
      </c>
    </row>
    <row r="86" spans="1:31" s="27" customFormat="1" ht="14.45" customHeight="1" x14ac:dyDescent="0.25">
      <c r="A86" s="4" t="s">
        <v>127</v>
      </c>
      <c r="B86" s="421" t="s">
        <v>711</v>
      </c>
      <c r="C86" s="186"/>
      <c r="D86" s="187"/>
      <c r="E86" s="187"/>
      <c r="F86" s="187"/>
      <c r="G86" s="187"/>
      <c r="H86" s="187"/>
      <c r="I86" s="187"/>
      <c r="J86" s="188"/>
      <c r="K86" s="188"/>
      <c r="L86" s="188"/>
      <c r="M86" s="189">
        <v>3</v>
      </c>
      <c r="N86" s="189"/>
      <c r="O86" s="189">
        <f t="shared" si="11"/>
        <v>3</v>
      </c>
      <c r="P86" s="189"/>
      <c r="Q86" s="189"/>
      <c r="R86" s="189"/>
      <c r="S86" s="189">
        <v>3</v>
      </c>
      <c r="T86" s="189"/>
      <c r="U86" s="189"/>
      <c r="V86" s="189"/>
      <c r="W86" s="189">
        <f t="shared" si="12"/>
        <v>3</v>
      </c>
      <c r="X86" s="189"/>
      <c r="Y86" s="189"/>
      <c r="Z86" s="189"/>
      <c r="AA86" s="426">
        <f t="shared" si="13"/>
        <v>3</v>
      </c>
      <c r="AB86" s="426"/>
      <c r="AC86" s="426"/>
      <c r="AD86" s="426"/>
      <c r="AE86" s="426">
        <f t="shared" si="14"/>
        <v>3</v>
      </c>
    </row>
    <row r="87" spans="1:31" s="27" customFormat="1" ht="14.45" customHeight="1" x14ac:dyDescent="0.25">
      <c r="A87" s="4" t="s">
        <v>128</v>
      </c>
      <c r="B87" s="421" t="s">
        <v>912</v>
      </c>
      <c r="C87" s="186"/>
      <c r="D87" s="187"/>
      <c r="E87" s="187"/>
      <c r="F87" s="187"/>
      <c r="G87" s="187"/>
      <c r="H87" s="187"/>
      <c r="I87" s="187"/>
      <c r="J87" s="188"/>
      <c r="K87" s="188"/>
      <c r="L87" s="188"/>
      <c r="M87" s="189">
        <v>1</v>
      </c>
      <c r="N87" s="189"/>
      <c r="O87" s="189">
        <f t="shared" si="11"/>
        <v>1</v>
      </c>
      <c r="P87" s="189"/>
      <c r="Q87" s="189"/>
      <c r="R87" s="189"/>
      <c r="S87" s="189">
        <v>1</v>
      </c>
      <c r="T87" s="189"/>
      <c r="U87" s="189"/>
      <c r="V87" s="189"/>
      <c r="W87" s="189">
        <f t="shared" si="12"/>
        <v>1</v>
      </c>
      <c r="X87" s="189"/>
      <c r="Y87" s="189"/>
      <c r="Z87" s="189"/>
      <c r="AA87" s="426">
        <f t="shared" si="13"/>
        <v>1</v>
      </c>
      <c r="AB87" s="426"/>
      <c r="AC87" s="426"/>
      <c r="AD87" s="426"/>
      <c r="AE87" s="426">
        <f t="shared" si="14"/>
        <v>1</v>
      </c>
    </row>
    <row r="88" spans="1:31" s="27" customFormat="1" ht="14.45" customHeight="1" x14ac:dyDescent="0.25">
      <c r="A88" s="4" t="s">
        <v>129</v>
      </c>
      <c r="B88" s="427" t="s">
        <v>712</v>
      </c>
      <c r="C88" s="186"/>
      <c r="D88" s="187"/>
      <c r="E88" s="187"/>
      <c r="F88" s="187"/>
      <c r="G88" s="187"/>
      <c r="H88" s="187"/>
      <c r="I88" s="187"/>
      <c r="J88" s="188"/>
      <c r="K88" s="188"/>
      <c r="L88" s="188"/>
      <c r="M88" s="189"/>
      <c r="N88" s="189"/>
      <c r="O88" s="189"/>
      <c r="P88" s="189"/>
      <c r="Q88" s="189"/>
      <c r="R88" s="189"/>
      <c r="S88" s="189"/>
      <c r="T88" s="189"/>
      <c r="U88" s="189"/>
      <c r="V88" s="189"/>
      <c r="W88" s="189"/>
      <c r="X88" s="189"/>
      <c r="Y88" s="189"/>
      <c r="Z88" s="189"/>
      <c r="AA88" s="426"/>
      <c r="AB88" s="426"/>
      <c r="AC88" s="426"/>
      <c r="AD88" s="426"/>
      <c r="AE88" s="426"/>
    </row>
    <row r="89" spans="1:31" s="27" customFormat="1" ht="14.45" customHeight="1" x14ac:dyDescent="0.25">
      <c r="A89" s="4" t="s">
        <v>130</v>
      </c>
      <c r="B89" s="421" t="s">
        <v>713</v>
      </c>
      <c r="C89" s="186"/>
      <c r="D89" s="187"/>
      <c r="E89" s="187"/>
      <c r="F89" s="187"/>
      <c r="G89" s="187"/>
      <c r="H89" s="187"/>
      <c r="I89" s="187"/>
      <c r="J89" s="188"/>
      <c r="K89" s="188"/>
      <c r="L89" s="188"/>
      <c r="M89" s="189">
        <v>1</v>
      </c>
      <c r="N89" s="189"/>
      <c r="O89" s="189">
        <f>M89</f>
        <v>1</v>
      </c>
      <c r="P89" s="189"/>
      <c r="Q89" s="189"/>
      <c r="R89" s="189"/>
      <c r="S89" s="189">
        <v>1</v>
      </c>
      <c r="T89" s="189"/>
      <c r="U89" s="189"/>
      <c r="V89" s="189"/>
      <c r="W89" s="189">
        <f>D89+J89+O89</f>
        <v>1</v>
      </c>
      <c r="X89" s="189"/>
      <c r="Y89" s="189"/>
      <c r="Z89" s="189"/>
      <c r="AA89" s="426">
        <f>S89+X89/2</f>
        <v>1</v>
      </c>
      <c r="AB89" s="426"/>
      <c r="AC89" s="426"/>
      <c r="AD89" s="426"/>
      <c r="AE89" s="426">
        <f>W89+Z89/2</f>
        <v>1</v>
      </c>
    </row>
    <row r="90" spans="1:31" s="27" customFormat="1" ht="14.45" customHeight="1" x14ac:dyDescent="0.25">
      <c r="A90" s="4" t="s">
        <v>133</v>
      </c>
      <c r="B90" s="421" t="s">
        <v>714</v>
      </c>
      <c r="C90" s="186"/>
      <c r="D90" s="187"/>
      <c r="E90" s="187"/>
      <c r="F90" s="187"/>
      <c r="G90" s="187"/>
      <c r="H90" s="187"/>
      <c r="I90" s="187"/>
      <c r="J90" s="188"/>
      <c r="K90" s="188"/>
      <c r="L90" s="188"/>
      <c r="M90" s="189">
        <v>2</v>
      </c>
      <c r="N90" s="189"/>
      <c r="O90" s="189">
        <f>M90</f>
        <v>2</v>
      </c>
      <c r="P90" s="189"/>
      <c r="Q90" s="189"/>
      <c r="R90" s="189"/>
      <c r="S90" s="189">
        <v>2</v>
      </c>
      <c r="T90" s="189"/>
      <c r="U90" s="189"/>
      <c r="V90" s="189"/>
      <c r="W90" s="189">
        <f>D90+J90+O90</f>
        <v>2</v>
      </c>
      <c r="X90" s="189"/>
      <c r="Y90" s="189"/>
      <c r="Z90" s="189"/>
      <c r="AA90" s="426">
        <f>S90+X90/2</f>
        <v>2</v>
      </c>
      <c r="AB90" s="426"/>
      <c r="AC90" s="426"/>
      <c r="AD90" s="426"/>
      <c r="AE90" s="426">
        <f>W90+Z90/2</f>
        <v>2</v>
      </c>
    </row>
    <row r="91" spans="1:31" s="27" customFormat="1" ht="14.45" customHeight="1" x14ac:dyDescent="0.25">
      <c r="A91" s="4" t="s">
        <v>136</v>
      </c>
      <c r="B91" s="421" t="s">
        <v>715</v>
      </c>
      <c r="C91" s="186"/>
      <c r="D91" s="187"/>
      <c r="E91" s="187"/>
      <c r="F91" s="187"/>
      <c r="G91" s="187"/>
      <c r="H91" s="187"/>
      <c r="I91" s="187"/>
      <c r="J91" s="188"/>
      <c r="K91" s="188"/>
      <c r="L91" s="188"/>
      <c r="M91" s="189">
        <v>1</v>
      </c>
      <c r="N91" s="189"/>
      <c r="O91" s="189">
        <f>M91</f>
        <v>1</v>
      </c>
      <c r="P91" s="189"/>
      <c r="Q91" s="189"/>
      <c r="R91" s="189"/>
      <c r="S91" s="189">
        <v>1</v>
      </c>
      <c r="T91" s="189"/>
      <c r="U91" s="189"/>
      <c r="V91" s="189"/>
      <c r="W91" s="189">
        <f>D91+J91+O91</f>
        <v>1</v>
      </c>
      <c r="X91" s="189"/>
      <c r="Y91" s="189"/>
      <c r="Z91" s="189"/>
      <c r="AA91" s="426">
        <f>S91+X91/2</f>
        <v>1</v>
      </c>
      <c r="AB91" s="426"/>
      <c r="AC91" s="426"/>
      <c r="AD91" s="426"/>
      <c r="AE91" s="426">
        <f>W91+Z91/2</f>
        <v>1</v>
      </c>
    </row>
    <row r="92" spans="1:31" s="27" customFormat="1" ht="14.45" customHeight="1" x14ac:dyDescent="0.25">
      <c r="A92" s="4" t="s">
        <v>139</v>
      </c>
      <c r="B92" s="665" t="s">
        <v>1077</v>
      </c>
      <c r="C92" s="666"/>
      <c r="D92" s="667"/>
      <c r="E92" s="667"/>
      <c r="F92" s="667"/>
      <c r="G92" s="667"/>
      <c r="H92" s="667"/>
      <c r="I92" s="667"/>
      <c r="J92" s="668"/>
      <c r="K92" s="668"/>
      <c r="L92" s="668"/>
      <c r="M92" s="669">
        <v>0.5</v>
      </c>
      <c r="N92" s="669"/>
      <c r="O92" s="669">
        <f>M92</f>
        <v>0.5</v>
      </c>
      <c r="P92" s="669"/>
      <c r="Q92" s="669"/>
      <c r="R92" s="669"/>
      <c r="S92" s="669">
        <f>M92+P92</f>
        <v>0.5</v>
      </c>
      <c r="T92" s="669"/>
      <c r="U92" s="669"/>
      <c r="V92" s="669"/>
      <c r="W92" s="669">
        <f>D92+J92+O92</f>
        <v>0.5</v>
      </c>
      <c r="X92" s="669"/>
      <c r="Y92" s="669"/>
      <c r="Z92" s="669"/>
      <c r="AA92" s="670">
        <f>S92+X92</f>
        <v>0.5</v>
      </c>
      <c r="AB92" s="670"/>
      <c r="AC92" s="670"/>
      <c r="AD92" s="671"/>
      <c r="AE92" s="672">
        <f>W92+Z92/2</f>
        <v>0.5</v>
      </c>
    </row>
    <row r="93" spans="1:31" s="27" customFormat="1" ht="14.45" customHeight="1" x14ac:dyDescent="0.25">
      <c r="A93" s="4" t="s">
        <v>140</v>
      </c>
      <c r="B93" s="182" t="s">
        <v>716</v>
      </c>
      <c r="C93" s="186"/>
      <c r="D93" s="187"/>
      <c r="E93" s="187"/>
      <c r="F93" s="187"/>
      <c r="G93" s="187"/>
      <c r="H93" s="187"/>
      <c r="I93" s="187"/>
      <c r="J93" s="188"/>
      <c r="K93" s="188"/>
      <c r="L93" s="188"/>
      <c r="M93" s="189">
        <f>SUM(M70:M92)</f>
        <v>23.5</v>
      </c>
      <c r="N93" s="189"/>
      <c r="O93" s="189">
        <f>M93</f>
        <v>23.5</v>
      </c>
      <c r="P93" s="189">
        <f>SUM(P70:P91)</f>
        <v>0</v>
      </c>
      <c r="Q93" s="189"/>
      <c r="R93" s="189">
        <f>SUM(R70:R91)</f>
        <v>0</v>
      </c>
      <c r="S93" s="189">
        <f>SUM(S70:S92)</f>
        <v>23.5</v>
      </c>
      <c r="T93" s="189"/>
      <c r="U93" s="189"/>
      <c r="V93" s="189"/>
      <c r="W93" s="189">
        <f>D93+J93+O93</f>
        <v>23.5</v>
      </c>
      <c r="X93" s="189">
        <f>SUM(X70:X91)</f>
        <v>0</v>
      </c>
      <c r="Y93" s="189"/>
      <c r="Z93" s="189">
        <f>SUM(Z70:Z91)</f>
        <v>0</v>
      </c>
      <c r="AA93" s="522">
        <f>S93+X93/2</f>
        <v>23.5</v>
      </c>
      <c r="AB93" s="522"/>
      <c r="AC93" s="522"/>
      <c r="AD93" s="583">
        <v>0</v>
      </c>
      <c r="AE93" s="522">
        <f>SUM(AE70:AE92)</f>
        <v>23.5</v>
      </c>
    </row>
    <row r="94" spans="1:31" s="27" customFormat="1" ht="14.45" customHeight="1" x14ac:dyDescent="0.25">
      <c r="A94" s="4"/>
      <c r="B94" s="422"/>
      <c r="C94" s="505"/>
      <c r="D94" s="506"/>
      <c r="E94" s="506"/>
      <c r="F94" s="506"/>
      <c r="G94" s="506"/>
      <c r="H94" s="506"/>
      <c r="I94" s="506"/>
      <c r="J94" s="507"/>
      <c r="K94" s="507"/>
      <c r="L94" s="507"/>
      <c r="M94" s="508"/>
      <c r="N94" s="508"/>
      <c r="O94" s="508"/>
      <c r="P94" s="508"/>
      <c r="Q94" s="508"/>
      <c r="R94" s="508"/>
      <c r="S94" s="508"/>
      <c r="T94" s="508"/>
      <c r="U94" s="508"/>
      <c r="V94" s="508"/>
      <c r="W94" s="508"/>
      <c r="X94" s="508"/>
      <c r="Y94" s="508"/>
      <c r="Z94" s="508"/>
      <c r="AA94" s="509"/>
      <c r="AB94" s="509"/>
      <c r="AC94" s="509"/>
      <c r="AD94" s="508"/>
      <c r="AE94" s="508"/>
    </row>
    <row r="95" spans="1:31" s="27" customFormat="1" ht="14.45" customHeight="1" x14ac:dyDescent="0.25">
      <c r="A95" s="4"/>
      <c r="B95" s="74"/>
      <c r="C95" s="68"/>
      <c r="D95" s="51"/>
      <c r="E95" s="51"/>
      <c r="F95" s="51"/>
      <c r="G95" s="51"/>
      <c r="H95" s="51"/>
      <c r="I95" s="51"/>
      <c r="J95" s="69"/>
      <c r="K95" s="69"/>
      <c r="L95" s="69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184"/>
      <c r="AB95" s="184"/>
      <c r="AC95" s="184"/>
      <c r="AD95" s="52"/>
      <c r="AE95" s="52"/>
    </row>
    <row r="96" spans="1:31" s="27" customFormat="1" ht="14.45" customHeight="1" x14ac:dyDescent="0.25">
      <c r="A96" s="4"/>
      <c r="B96" s="74"/>
      <c r="C96" s="68"/>
      <c r="D96" s="51"/>
      <c r="E96" s="51"/>
      <c r="F96" s="51"/>
      <c r="G96" s="51"/>
      <c r="H96" s="51"/>
      <c r="I96" s="51"/>
      <c r="J96" s="69"/>
      <c r="K96" s="69"/>
      <c r="L96" s="69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184"/>
      <c r="AB96" s="184"/>
      <c r="AC96" s="184"/>
      <c r="AD96" s="52"/>
      <c r="AE96" s="52"/>
    </row>
    <row r="97" spans="1:249" s="27" customFormat="1" ht="14.45" customHeight="1" x14ac:dyDescent="0.25">
      <c r="A97" s="183" t="s">
        <v>143</v>
      </c>
      <c r="B97" s="74" t="s">
        <v>516</v>
      </c>
      <c r="C97" s="68"/>
      <c r="D97" s="51"/>
      <c r="E97" s="51"/>
      <c r="F97" s="51"/>
      <c r="G97" s="51"/>
      <c r="H97" s="51"/>
      <c r="I97" s="51"/>
      <c r="J97" s="69"/>
      <c r="K97" s="69"/>
      <c r="L97" s="69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184"/>
      <c r="AB97" s="184"/>
      <c r="AC97" s="184"/>
      <c r="AD97" s="52"/>
      <c r="AE97" s="52"/>
    </row>
    <row r="98" spans="1:249" s="27" customFormat="1" ht="14.45" customHeight="1" x14ac:dyDescent="0.25">
      <c r="A98" s="183" t="s">
        <v>144</v>
      </c>
      <c r="B98" s="185" t="s">
        <v>517</v>
      </c>
      <c r="C98" s="186"/>
      <c r="D98" s="187"/>
      <c r="E98" s="187"/>
      <c r="F98" s="187"/>
      <c r="G98" s="187"/>
      <c r="H98" s="187"/>
      <c r="I98" s="187"/>
      <c r="J98" s="188"/>
      <c r="K98" s="188"/>
      <c r="L98" s="188"/>
      <c r="M98" s="188">
        <v>13</v>
      </c>
      <c r="N98" s="188"/>
      <c r="O98" s="188">
        <f>M98</f>
        <v>13</v>
      </c>
      <c r="P98" s="189"/>
      <c r="Q98" s="189"/>
      <c r="R98" s="189"/>
      <c r="S98" s="188">
        <f>M98</f>
        <v>13</v>
      </c>
      <c r="T98" s="188"/>
      <c r="U98" s="188"/>
      <c r="V98" s="189"/>
      <c r="W98" s="189">
        <f>O98+J98+D98</f>
        <v>13</v>
      </c>
      <c r="X98" s="189"/>
      <c r="Y98" s="189"/>
      <c r="Z98" s="189"/>
      <c r="AA98" s="188">
        <f>S98+X98/2</f>
        <v>13</v>
      </c>
      <c r="AB98" s="188"/>
      <c r="AC98" s="188"/>
      <c r="AD98" s="189"/>
      <c r="AE98" s="189">
        <f>W98+Z98/2</f>
        <v>13</v>
      </c>
    </row>
    <row r="99" spans="1:249" s="27" customFormat="1" ht="14.45" customHeight="1" x14ac:dyDescent="0.25">
      <c r="A99" s="183" t="s">
        <v>145</v>
      </c>
      <c r="B99" s="185" t="s">
        <v>518</v>
      </c>
      <c r="C99" s="186"/>
      <c r="D99" s="187"/>
      <c r="E99" s="187"/>
      <c r="F99" s="187"/>
      <c r="G99" s="187"/>
      <c r="H99" s="187"/>
      <c r="I99" s="187"/>
      <c r="J99" s="188"/>
      <c r="K99" s="188"/>
      <c r="L99" s="188"/>
      <c r="M99" s="188">
        <v>8</v>
      </c>
      <c r="N99" s="188"/>
      <c r="O99" s="188">
        <f>M99</f>
        <v>8</v>
      </c>
      <c r="P99" s="189"/>
      <c r="Q99" s="189"/>
      <c r="R99" s="189"/>
      <c r="S99" s="188">
        <f>M99</f>
        <v>8</v>
      </c>
      <c r="T99" s="188"/>
      <c r="U99" s="188"/>
      <c r="V99" s="189"/>
      <c r="W99" s="189">
        <f>S99+V99</f>
        <v>8</v>
      </c>
      <c r="X99" s="189"/>
      <c r="Y99" s="189"/>
      <c r="Z99" s="189"/>
      <c r="AA99" s="188">
        <f>S99+X99/2</f>
        <v>8</v>
      </c>
      <c r="AB99" s="188"/>
      <c r="AC99" s="188"/>
      <c r="AD99" s="189"/>
      <c r="AE99" s="189">
        <f>W99+Z99/2</f>
        <v>8</v>
      </c>
    </row>
    <row r="100" spans="1:249" s="27" customFormat="1" ht="14.45" customHeight="1" x14ac:dyDescent="0.25">
      <c r="A100" s="183" t="s">
        <v>146</v>
      </c>
      <c r="B100" s="185" t="s">
        <v>519</v>
      </c>
      <c r="C100" s="186"/>
      <c r="D100" s="187"/>
      <c r="E100" s="187"/>
      <c r="F100" s="187"/>
      <c r="G100" s="187"/>
      <c r="H100" s="187"/>
      <c r="I100" s="187"/>
      <c r="J100" s="188"/>
      <c r="K100" s="188"/>
      <c r="L100" s="188"/>
      <c r="M100" s="188">
        <v>3</v>
      </c>
      <c r="N100" s="188"/>
      <c r="O100" s="188">
        <f>M100</f>
        <v>3</v>
      </c>
      <c r="P100" s="189"/>
      <c r="Q100" s="189"/>
      <c r="R100" s="189"/>
      <c r="S100" s="188">
        <v>3</v>
      </c>
      <c r="T100" s="188"/>
      <c r="U100" s="188"/>
      <c r="V100" s="189"/>
      <c r="W100" s="189">
        <v>3</v>
      </c>
      <c r="X100" s="189"/>
      <c r="Y100" s="189"/>
      <c r="Z100" s="189"/>
      <c r="AA100" s="188">
        <f>S100+X100/2</f>
        <v>3</v>
      </c>
      <c r="AB100" s="188"/>
      <c r="AC100" s="188"/>
      <c r="AD100" s="189"/>
      <c r="AE100" s="189">
        <f>W100+Z100/2</f>
        <v>3</v>
      </c>
    </row>
    <row r="101" spans="1:249" s="27" customFormat="1" ht="14.45" customHeight="1" x14ac:dyDescent="0.25">
      <c r="A101" s="183" t="s">
        <v>147</v>
      </c>
      <c r="B101" s="190" t="s">
        <v>1159</v>
      </c>
      <c r="C101" s="191"/>
      <c r="D101" s="192"/>
      <c r="E101" s="192"/>
      <c r="F101" s="192"/>
      <c r="G101" s="192"/>
      <c r="H101" s="192"/>
      <c r="I101" s="192"/>
      <c r="J101" s="188"/>
      <c r="K101" s="188"/>
      <c r="L101" s="188"/>
      <c r="M101" s="189">
        <f>M98+M99+M100</f>
        <v>24</v>
      </c>
      <c r="N101" s="189"/>
      <c r="O101" s="189">
        <f>M101</f>
        <v>24</v>
      </c>
      <c r="P101" s="189">
        <v>0</v>
      </c>
      <c r="Q101" s="189"/>
      <c r="R101" s="189">
        <f>R98+R99+R100</f>
        <v>0</v>
      </c>
      <c r="S101" s="189">
        <f>S98+S99+S100</f>
        <v>24</v>
      </c>
      <c r="T101" s="189"/>
      <c r="U101" s="189"/>
      <c r="V101" s="189"/>
      <c r="W101" s="189">
        <f>W98+W99+W100</f>
        <v>24</v>
      </c>
      <c r="X101" s="189">
        <f>X98+X99+X100</f>
        <v>0</v>
      </c>
      <c r="Y101" s="189"/>
      <c r="Z101" s="189">
        <f>Z98+Z99+Z100</f>
        <v>0</v>
      </c>
      <c r="AA101" s="522">
        <f>S101+X101/2</f>
        <v>24</v>
      </c>
      <c r="AB101" s="522"/>
      <c r="AC101" s="522"/>
      <c r="AD101" s="583">
        <v>0</v>
      </c>
      <c r="AE101" s="522">
        <f>W101+Z101/2</f>
        <v>24</v>
      </c>
    </row>
    <row r="102" spans="1:249" ht="15.75" customHeight="1" x14ac:dyDescent="0.25">
      <c r="A102" s="183"/>
      <c r="B102" s="510"/>
      <c r="C102" s="511"/>
      <c r="D102" s="512"/>
      <c r="E102" s="512"/>
      <c r="F102" s="512"/>
      <c r="G102" s="512"/>
      <c r="H102" s="512"/>
      <c r="I102" s="512"/>
      <c r="J102" s="513"/>
      <c r="K102" s="513"/>
      <c r="L102" s="513"/>
      <c r="M102" s="514"/>
      <c r="N102" s="514"/>
      <c r="O102" s="514"/>
      <c r="P102" s="514"/>
      <c r="Q102" s="514"/>
      <c r="R102" s="514"/>
      <c r="S102" s="514"/>
      <c r="T102" s="514"/>
      <c r="U102" s="514"/>
      <c r="V102" s="514"/>
      <c r="W102" s="514"/>
      <c r="X102" s="514"/>
      <c r="Y102" s="514"/>
      <c r="Z102" s="514"/>
      <c r="AA102" s="514"/>
      <c r="AB102" s="514"/>
      <c r="AC102" s="514"/>
      <c r="AD102" s="514"/>
      <c r="AE102" s="515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27"/>
      <c r="BM102" s="27"/>
      <c r="BN102" s="27"/>
      <c r="BO102" s="27"/>
      <c r="BP102" s="27"/>
      <c r="BQ102" s="27"/>
      <c r="BR102" s="27"/>
      <c r="BS102" s="27"/>
      <c r="BT102" s="27"/>
      <c r="BU102" s="27"/>
      <c r="BV102" s="27"/>
      <c r="BW102" s="27"/>
      <c r="BX102" s="27"/>
      <c r="BY102" s="27"/>
      <c r="BZ102" s="27"/>
      <c r="CA102" s="27"/>
      <c r="CB102" s="27"/>
      <c r="CC102" s="27"/>
      <c r="CD102" s="27"/>
      <c r="CE102" s="27"/>
      <c r="CF102" s="27"/>
      <c r="CG102" s="27"/>
      <c r="CH102" s="27"/>
      <c r="CI102" s="27"/>
      <c r="CJ102" s="27"/>
      <c r="CK102" s="27"/>
      <c r="CL102" s="27"/>
      <c r="CM102" s="27"/>
      <c r="CN102" s="27"/>
      <c r="CO102" s="27"/>
      <c r="CP102" s="27"/>
      <c r="CQ102" s="27"/>
      <c r="CR102" s="27"/>
      <c r="CS102" s="27"/>
      <c r="CT102" s="27"/>
      <c r="CU102" s="27"/>
      <c r="CV102" s="27"/>
      <c r="CW102" s="27"/>
      <c r="CX102" s="27"/>
      <c r="CY102" s="27"/>
      <c r="CZ102" s="27"/>
      <c r="DA102" s="27"/>
      <c r="DB102" s="27"/>
      <c r="DC102" s="27"/>
      <c r="DD102" s="27"/>
      <c r="DE102" s="27"/>
      <c r="DF102" s="27"/>
      <c r="DG102" s="27"/>
      <c r="DH102" s="27"/>
      <c r="DI102" s="27"/>
      <c r="DJ102" s="27"/>
      <c r="DK102" s="27"/>
      <c r="DL102" s="27"/>
      <c r="DM102" s="27"/>
      <c r="DN102" s="27"/>
      <c r="DO102" s="27"/>
      <c r="DP102" s="27"/>
      <c r="DQ102" s="27"/>
      <c r="DR102" s="27"/>
      <c r="DS102" s="27"/>
      <c r="DT102" s="27"/>
      <c r="DU102" s="27"/>
      <c r="DV102" s="27"/>
      <c r="DW102" s="27"/>
      <c r="DX102" s="27"/>
      <c r="DY102" s="27"/>
      <c r="DZ102" s="27"/>
      <c r="EA102" s="27"/>
      <c r="EB102" s="27"/>
      <c r="EC102" s="27"/>
      <c r="ED102" s="27"/>
      <c r="EE102" s="27"/>
      <c r="EF102" s="27"/>
      <c r="EG102" s="27"/>
      <c r="EH102" s="27"/>
      <c r="EI102" s="27"/>
      <c r="EJ102" s="27"/>
      <c r="EK102" s="27"/>
      <c r="EL102" s="27"/>
      <c r="EM102" s="27"/>
      <c r="EN102" s="27"/>
      <c r="EO102" s="27"/>
      <c r="EP102" s="27"/>
      <c r="EQ102" s="27"/>
      <c r="ER102" s="27"/>
      <c r="ES102" s="27"/>
      <c r="ET102" s="27"/>
      <c r="EU102" s="27"/>
      <c r="EV102" s="27"/>
      <c r="EW102" s="27"/>
      <c r="EX102" s="27"/>
      <c r="EY102" s="27"/>
      <c r="EZ102" s="27"/>
      <c r="FA102" s="27"/>
      <c r="FB102" s="27"/>
      <c r="FC102" s="27"/>
      <c r="FD102" s="27"/>
      <c r="FE102" s="27"/>
      <c r="FF102" s="27"/>
      <c r="FG102" s="27"/>
      <c r="FH102" s="27"/>
      <c r="FI102" s="27"/>
      <c r="FJ102" s="27"/>
      <c r="FK102" s="27"/>
      <c r="FL102" s="27"/>
      <c r="FM102" s="27"/>
      <c r="FN102" s="27"/>
      <c r="FO102" s="27"/>
      <c r="FP102" s="27"/>
      <c r="FQ102" s="27"/>
      <c r="FR102" s="27"/>
      <c r="FS102" s="27"/>
      <c r="FT102" s="27"/>
      <c r="FU102" s="27"/>
      <c r="FV102" s="27"/>
      <c r="FW102" s="27"/>
      <c r="FX102" s="27"/>
      <c r="FY102" s="27"/>
      <c r="FZ102" s="27"/>
      <c r="GA102" s="27"/>
      <c r="GB102" s="27"/>
      <c r="GC102" s="27"/>
      <c r="GD102" s="27"/>
      <c r="GE102" s="27"/>
      <c r="GF102" s="27"/>
      <c r="GG102" s="27"/>
      <c r="GH102" s="27"/>
      <c r="GI102" s="27"/>
      <c r="GJ102" s="27"/>
      <c r="GK102" s="27"/>
      <c r="GL102" s="27"/>
      <c r="GM102" s="27"/>
      <c r="GN102" s="27"/>
      <c r="GO102" s="27"/>
      <c r="GP102" s="27"/>
      <c r="GQ102" s="27"/>
      <c r="GR102" s="27"/>
      <c r="GS102" s="27"/>
      <c r="GT102" s="27"/>
      <c r="GU102" s="27"/>
      <c r="GV102" s="27"/>
      <c r="GW102" s="27"/>
      <c r="GX102" s="27"/>
      <c r="GY102" s="27"/>
      <c r="GZ102" s="27"/>
      <c r="HA102" s="27"/>
      <c r="HB102" s="27"/>
      <c r="HC102" s="27"/>
      <c r="HD102" s="27"/>
      <c r="HE102" s="27"/>
      <c r="HF102" s="27"/>
      <c r="HG102" s="27"/>
      <c r="HH102" s="27"/>
      <c r="HI102" s="27"/>
      <c r="HJ102" s="27"/>
      <c r="HK102" s="27"/>
      <c r="HL102" s="27"/>
      <c r="HM102" s="27"/>
      <c r="HN102" s="27"/>
      <c r="HO102" s="27"/>
      <c r="HP102" s="27"/>
      <c r="HQ102" s="27"/>
      <c r="HR102" s="27"/>
      <c r="HS102" s="27"/>
      <c r="HT102" s="27"/>
      <c r="HU102" s="27"/>
      <c r="HV102" s="27"/>
      <c r="HW102" s="27"/>
      <c r="HX102" s="27"/>
      <c r="HY102" s="27"/>
      <c r="HZ102" s="27"/>
      <c r="IA102" s="27"/>
      <c r="IB102" s="27"/>
      <c r="IC102" s="27"/>
      <c r="ID102" s="27"/>
      <c r="IE102" s="27"/>
      <c r="IF102" s="27"/>
      <c r="IG102" s="27"/>
      <c r="IH102" s="27"/>
      <c r="II102" s="27"/>
      <c r="IJ102" s="27"/>
      <c r="IK102" s="27"/>
      <c r="IL102" s="27"/>
      <c r="IM102" s="27"/>
      <c r="IN102" s="27"/>
      <c r="IO102" s="27"/>
    </row>
    <row r="103" spans="1:249" s="27" customFormat="1" ht="14.45" customHeight="1" x14ac:dyDescent="0.25">
      <c r="A103" s="183"/>
      <c r="B103" s="49"/>
      <c r="C103" s="50"/>
      <c r="D103" s="51"/>
      <c r="E103" s="51"/>
      <c r="F103" s="51"/>
      <c r="G103" s="51"/>
      <c r="H103" s="51"/>
      <c r="I103" s="51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56"/>
      <c r="X103" s="56"/>
      <c r="Y103" s="56"/>
      <c r="Z103" s="56"/>
      <c r="AA103" s="56"/>
      <c r="AB103" s="56"/>
      <c r="AC103" s="56"/>
      <c r="AD103" s="56"/>
      <c r="AE103" s="56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  <c r="BM103" s="15"/>
      <c r="BN103" s="15"/>
      <c r="BO103" s="15"/>
      <c r="BP103" s="15"/>
      <c r="BQ103" s="15"/>
      <c r="BR103" s="15"/>
      <c r="BS103" s="15"/>
      <c r="BT103" s="15"/>
      <c r="BU103" s="15"/>
      <c r="BV103" s="15"/>
      <c r="BW103" s="15"/>
      <c r="BX103" s="15"/>
      <c r="BY103" s="15"/>
      <c r="BZ103" s="15"/>
      <c r="CA103" s="15"/>
      <c r="CB103" s="15"/>
      <c r="CC103" s="15"/>
      <c r="CD103" s="15"/>
      <c r="CE103" s="15"/>
      <c r="CF103" s="15"/>
      <c r="CG103" s="15"/>
      <c r="CH103" s="15"/>
      <c r="CI103" s="15"/>
      <c r="CJ103" s="15"/>
      <c r="CK103" s="15"/>
      <c r="CL103" s="15"/>
      <c r="CM103" s="15"/>
      <c r="CN103" s="15"/>
      <c r="CO103" s="15"/>
      <c r="CP103" s="15"/>
      <c r="CQ103" s="15"/>
      <c r="CR103" s="15"/>
      <c r="CS103" s="15"/>
      <c r="CT103" s="15"/>
      <c r="CU103" s="15"/>
      <c r="CV103" s="15"/>
      <c r="CW103" s="15"/>
      <c r="CX103" s="15"/>
      <c r="CY103" s="15"/>
      <c r="CZ103" s="15"/>
      <c r="DA103" s="15"/>
      <c r="DB103" s="15"/>
      <c r="DC103" s="15"/>
      <c r="DD103" s="15"/>
      <c r="DE103" s="15"/>
      <c r="DF103" s="15"/>
      <c r="DG103" s="15"/>
      <c r="DH103" s="15"/>
      <c r="DI103" s="15"/>
      <c r="DJ103" s="15"/>
      <c r="DK103" s="15"/>
      <c r="DL103" s="15"/>
      <c r="DM103" s="15"/>
      <c r="DN103" s="15"/>
      <c r="DO103" s="15"/>
      <c r="DP103" s="15"/>
      <c r="DQ103" s="15"/>
      <c r="DR103" s="15"/>
      <c r="DS103" s="15"/>
      <c r="DT103" s="15"/>
      <c r="DU103" s="15"/>
      <c r="DV103" s="15"/>
      <c r="DW103" s="15"/>
      <c r="DX103" s="15"/>
      <c r="DY103" s="15"/>
      <c r="DZ103" s="15"/>
      <c r="EA103" s="15"/>
      <c r="EB103" s="15"/>
      <c r="EC103" s="15"/>
      <c r="ED103" s="15"/>
      <c r="EE103" s="15"/>
      <c r="EF103" s="15"/>
      <c r="EG103" s="15"/>
      <c r="EH103" s="15"/>
      <c r="EI103" s="15"/>
      <c r="EJ103" s="15"/>
      <c r="EK103" s="15"/>
      <c r="EL103" s="15"/>
      <c r="EM103" s="15"/>
      <c r="EN103" s="15"/>
      <c r="EO103" s="15"/>
      <c r="EP103" s="15"/>
      <c r="EQ103" s="15"/>
      <c r="ER103" s="15"/>
      <c r="ES103" s="15"/>
      <c r="ET103" s="15"/>
      <c r="EU103" s="15"/>
      <c r="EV103" s="15"/>
      <c r="EW103" s="15"/>
      <c r="EX103" s="15"/>
      <c r="EY103" s="15"/>
      <c r="EZ103" s="15"/>
      <c r="FA103" s="15"/>
      <c r="FB103" s="15"/>
      <c r="FC103" s="15"/>
      <c r="FD103" s="15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  <c r="FO103" s="15"/>
      <c r="FP103" s="15"/>
      <c r="FQ103" s="15"/>
      <c r="FR103" s="15"/>
      <c r="FS103" s="15"/>
      <c r="FT103" s="15"/>
      <c r="FU103" s="15"/>
      <c r="FV103" s="15"/>
      <c r="FW103" s="15"/>
      <c r="FX103" s="15"/>
      <c r="FY103" s="15"/>
      <c r="FZ103" s="15"/>
      <c r="GA103" s="15"/>
      <c r="GB103" s="15"/>
      <c r="GC103" s="15"/>
      <c r="GD103" s="15"/>
      <c r="GE103" s="15"/>
      <c r="GF103" s="15"/>
      <c r="GG103" s="15"/>
      <c r="GH103" s="15"/>
      <c r="GI103" s="15"/>
      <c r="GJ103" s="15"/>
      <c r="GK103" s="15"/>
      <c r="GL103" s="15"/>
      <c r="GM103" s="15"/>
      <c r="GN103" s="15"/>
      <c r="GO103" s="15"/>
      <c r="GP103" s="15"/>
      <c r="GQ103" s="15"/>
      <c r="GR103" s="15"/>
      <c r="GS103" s="15"/>
      <c r="GT103" s="15"/>
      <c r="GU103" s="15"/>
      <c r="GV103" s="15"/>
      <c r="GW103" s="15"/>
      <c r="GX103" s="15"/>
      <c r="GY103" s="15"/>
      <c r="GZ103" s="15"/>
      <c r="HA103" s="15"/>
      <c r="HB103" s="15"/>
      <c r="HC103" s="15"/>
      <c r="HD103" s="15"/>
      <c r="HE103" s="15"/>
      <c r="HF103" s="15"/>
      <c r="HG103" s="15"/>
      <c r="HH103" s="15"/>
      <c r="HI103" s="15"/>
      <c r="HJ103" s="15"/>
      <c r="HK103" s="15"/>
      <c r="HL103" s="15"/>
      <c r="HM103" s="15"/>
      <c r="HN103" s="15"/>
      <c r="HO103" s="15"/>
      <c r="HP103" s="15"/>
      <c r="HQ103" s="15"/>
      <c r="HR103" s="15"/>
      <c r="HS103" s="15"/>
      <c r="HT103" s="15"/>
      <c r="HU103" s="15"/>
      <c r="HV103" s="15"/>
      <c r="HW103" s="15"/>
      <c r="HX103" s="15"/>
      <c r="HY103" s="15"/>
      <c r="HZ103" s="15"/>
      <c r="IA103" s="15"/>
      <c r="IB103" s="15"/>
      <c r="IC103" s="15"/>
      <c r="ID103" s="15"/>
      <c r="IE103" s="15"/>
      <c r="IF103" s="15"/>
      <c r="IG103" s="15"/>
      <c r="IH103" s="15"/>
      <c r="II103" s="15"/>
      <c r="IJ103" s="15"/>
      <c r="IK103" s="15"/>
      <c r="IL103" s="15"/>
      <c r="IM103" s="15"/>
      <c r="IN103" s="15"/>
      <c r="IO103" s="15"/>
    </row>
    <row r="104" spans="1:249" s="27" customFormat="1" ht="15.75" customHeight="1" x14ac:dyDescent="0.25">
      <c r="A104" s="183" t="s">
        <v>149</v>
      </c>
      <c r="B104" s="44" t="s">
        <v>681</v>
      </c>
      <c r="C104" s="45">
        <f>C24+C40+C64</f>
        <v>0</v>
      </c>
      <c r="D104" s="45">
        <f>D24+D40+D64</f>
        <v>0</v>
      </c>
      <c r="E104" s="45"/>
      <c r="F104" s="45"/>
      <c r="G104" s="45">
        <f>G24+G40+G64</f>
        <v>0</v>
      </c>
      <c r="H104" s="45"/>
      <c r="I104" s="45"/>
      <c r="J104" s="45">
        <f>J24+J40+J64</f>
        <v>0</v>
      </c>
      <c r="K104" s="45">
        <f>K24+K40+K64</f>
        <v>0</v>
      </c>
      <c r="L104" s="45">
        <f>L24+L40+L64</f>
        <v>0</v>
      </c>
      <c r="M104" s="45">
        <f t="shared" ref="M104:AE104" si="15">M24+M40+M101+M93</f>
        <v>187</v>
      </c>
      <c r="N104" s="731">
        <f>N24+N40+N93+N101</f>
        <v>2</v>
      </c>
      <c r="O104" s="45">
        <f t="shared" si="15"/>
        <v>189</v>
      </c>
      <c r="P104" s="45">
        <f t="shared" si="15"/>
        <v>1</v>
      </c>
      <c r="Q104" s="45"/>
      <c r="R104" s="45">
        <f t="shared" si="15"/>
        <v>0</v>
      </c>
      <c r="S104" s="45">
        <f t="shared" si="15"/>
        <v>187</v>
      </c>
      <c r="T104" s="45">
        <f>T24+T40+T93+T101</f>
        <v>2</v>
      </c>
      <c r="U104" s="45"/>
      <c r="V104" s="584">
        <f>V101+V93+V40+V24</f>
        <v>0</v>
      </c>
      <c r="W104" s="45">
        <f t="shared" si="15"/>
        <v>189</v>
      </c>
      <c r="X104" s="45">
        <f t="shared" si="15"/>
        <v>1</v>
      </c>
      <c r="Y104" s="45">
        <f>Y24+Y40+Y93+Y101</f>
        <v>-1</v>
      </c>
      <c r="Z104" s="45">
        <f t="shared" si="15"/>
        <v>0</v>
      </c>
      <c r="AA104" s="523">
        <f t="shared" si="15"/>
        <v>187.5</v>
      </c>
      <c r="AB104" s="523">
        <f>AB24+AB40+AB93+AB101</f>
        <v>1.5</v>
      </c>
      <c r="AC104" s="523"/>
      <c r="AD104" s="523">
        <f t="shared" ref="AD104" si="16">AD101+AD93+AD40+AD24</f>
        <v>0</v>
      </c>
      <c r="AE104" s="523">
        <f t="shared" si="15"/>
        <v>189</v>
      </c>
    </row>
    <row r="105" spans="1:249" s="27" customFormat="1" ht="14.45" customHeight="1" x14ac:dyDescent="0.25">
      <c r="A105" s="183"/>
      <c r="B105" s="54"/>
      <c r="C105" s="55"/>
      <c r="D105" s="56"/>
      <c r="E105" s="56"/>
      <c r="F105" s="56"/>
      <c r="G105" s="56"/>
      <c r="H105" s="56"/>
      <c r="I105" s="56"/>
      <c r="J105" s="57"/>
      <c r="K105" s="57"/>
      <c r="L105" s="57"/>
      <c r="M105" s="57"/>
      <c r="N105" s="57"/>
      <c r="O105" s="56"/>
      <c r="P105" s="56"/>
      <c r="Q105" s="56"/>
      <c r="R105" s="56"/>
      <c r="S105" s="56"/>
      <c r="T105" s="52"/>
      <c r="U105" s="52"/>
      <c r="V105" s="52"/>
      <c r="W105" s="66"/>
      <c r="X105" s="67"/>
      <c r="Y105" s="67"/>
      <c r="Z105" s="67"/>
      <c r="AA105" s="340"/>
      <c r="AB105" s="340"/>
      <c r="AC105" s="340"/>
      <c r="AD105" s="340"/>
      <c r="AE105" s="340"/>
    </row>
    <row r="106" spans="1:249" ht="14.45" customHeight="1" x14ac:dyDescent="0.25">
      <c r="A106" s="183" t="s">
        <v>152</v>
      </c>
      <c r="B106" s="44" t="s">
        <v>600</v>
      </c>
      <c r="C106" s="73">
        <f>C10+C12+C104</f>
        <v>9</v>
      </c>
      <c r="D106" s="585">
        <f>D10+D12+D104</f>
        <v>9</v>
      </c>
      <c r="E106" s="581">
        <f>E10++E12+E104</f>
        <v>0</v>
      </c>
      <c r="F106" s="581">
        <f>F104+F12+F10</f>
        <v>0</v>
      </c>
      <c r="G106" s="73">
        <f>G10+G12+G104</f>
        <v>38</v>
      </c>
      <c r="H106" s="73">
        <f t="shared" ref="H106:I106" si="17">H10+H12+H104</f>
        <v>2</v>
      </c>
      <c r="I106" s="73">
        <f t="shared" si="17"/>
        <v>-2</v>
      </c>
      <c r="J106" s="73">
        <f>J10+J12+J104</f>
        <v>38</v>
      </c>
      <c r="K106" s="73">
        <f>K10+K12+K104</f>
        <v>0</v>
      </c>
      <c r="L106" s="73">
        <f>L10+L12+L104</f>
        <v>0</v>
      </c>
      <c r="M106" s="341">
        <f>M104</f>
        <v>187</v>
      </c>
      <c r="N106" s="73">
        <f>N104+N10+N12</f>
        <v>2</v>
      </c>
      <c r="O106" s="341">
        <f>O10+O12+O104</f>
        <v>189</v>
      </c>
      <c r="P106" s="341">
        <f>P10+P12+P104</f>
        <v>1</v>
      </c>
      <c r="Q106" s="341"/>
      <c r="R106" s="341">
        <f>R10+R12+R104</f>
        <v>0</v>
      </c>
      <c r="S106" s="48">
        <f>C106+G106+M106</f>
        <v>234</v>
      </c>
      <c r="T106" s="581">
        <f>T104+T10+T12</f>
        <v>2</v>
      </c>
      <c r="U106" s="581">
        <f>U12+U10</f>
        <v>2</v>
      </c>
      <c r="V106" s="581">
        <f>V10+V12+V104</f>
        <v>-2</v>
      </c>
      <c r="W106" s="181">
        <f>W104+W12+W10</f>
        <v>236</v>
      </c>
      <c r="X106" s="677">
        <f>X10+X12+X104</f>
        <v>1</v>
      </c>
      <c r="Y106" s="677">
        <f>Y104+Y10+Y12</f>
        <v>-1</v>
      </c>
      <c r="Z106" s="350">
        <f>Z10+Z12+Z104</f>
        <v>0</v>
      </c>
      <c r="AA106" s="608">
        <f>AA10+AA12+AA104</f>
        <v>234.5</v>
      </c>
      <c r="AB106" s="608">
        <f>AB104+AB10+AB12</f>
        <v>1.5</v>
      </c>
      <c r="AC106" s="608">
        <f t="shared" ref="AC106" si="18">AC10+AC12+AC104</f>
        <v>2</v>
      </c>
      <c r="AD106" s="608">
        <f>AD10+AD12+AD104</f>
        <v>-2</v>
      </c>
      <c r="AE106" s="371">
        <f>AE104+AE12+AE10</f>
        <v>236</v>
      </c>
      <c r="AF106" s="408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  <c r="AQ106" s="27"/>
      <c r="AR106" s="27"/>
      <c r="AS106" s="27"/>
      <c r="AT106" s="27"/>
      <c r="AU106" s="27"/>
      <c r="AV106" s="27"/>
      <c r="AW106" s="27"/>
      <c r="AX106" s="27"/>
      <c r="AY106" s="27"/>
      <c r="AZ106" s="27"/>
      <c r="BA106" s="27"/>
      <c r="BB106" s="27"/>
      <c r="BC106" s="27"/>
      <c r="BD106" s="27"/>
      <c r="BE106" s="27"/>
      <c r="BF106" s="27"/>
      <c r="BG106" s="27"/>
      <c r="BH106" s="27"/>
      <c r="BI106" s="27"/>
      <c r="BJ106" s="27"/>
      <c r="BK106" s="27"/>
      <c r="BL106" s="27"/>
      <c r="BM106" s="27"/>
      <c r="BN106" s="27"/>
      <c r="BO106" s="27"/>
      <c r="BP106" s="27"/>
      <c r="BQ106" s="27"/>
      <c r="BR106" s="27"/>
      <c r="BS106" s="27"/>
      <c r="BT106" s="27"/>
      <c r="BU106" s="27"/>
      <c r="BV106" s="27"/>
      <c r="BW106" s="27"/>
      <c r="BX106" s="27"/>
      <c r="BY106" s="27"/>
      <c r="BZ106" s="27"/>
      <c r="CA106" s="27"/>
      <c r="CB106" s="27"/>
      <c r="CC106" s="27"/>
      <c r="CD106" s="27"/>
      <c r="CE106" s="27"/>
      <c r="CF106" s="27"/>
      <c r="CG106" s="27"/>
      <c r="CH106" s="27"/>
      <c r="CI106" s="27"/>
      <c r="CJ106" s="27"/>
      <c r="CK106" s="27"/>
      <c r="CL106" s="27"/>
      <c r="CM106" s="27"/>
      <c r="CN106" s="27"/>
      <c r="CO106" s="27"/>
      <c r="CP106" s="27"/>
      <c r="CQ106" s="27"/>
      <c r="CR106" s="27"/>
      <c r="CS106" s="27"/>
      <c r="CT106" s="27"/>
      <c r="CU106" s="27"/>
      <c r="CV106" s="27"/>
      <c r="CW106" s="27"/>
      <c r="CX106" s="27"/>
      <c r="CY106" s="27"/>
      <c r="CZ106" s="27"/>
      <c r="DA106" s="27"/>
      <c r="DB106" s="27"/>
      <c r="DC106" s="27"/>
      <c r="DD106" s="27"/>
      <c r="DE106" s="27"/>
      <c r="DF106" s="27"/>
      <c r="DG106" s="27"/>
      <c r="DH106" s="27"/>
      <c r="DI106" s="27"/>
      <c r="DJ106" s="27"/>
      <c r="DK106" s="27"/>
      <c r="DL106" s="27"/>
      <c r="DM106" s="27"/>
      <c r="DN106" s="27"/>
      <c r="DO106" s="27"/>
      <c r="DP106" s="27"/>
      <c r="DQ106" s="27"/>
      <c r="DR106" s="27"/>
      <c r="DS106" s="27"/>
      <c r="DT106" s="27"/>
      <c r="DU106" s="27"/>
      <c r="DV106" s="27"/>
      <c r="DW106" s="27"/>
      <c r="DX106" s="27"/>
      <c r="DY106" s="27"/>
      <c r="DZ106" s="27"/>
      <c r="EA106" s="27"/>
      <c r="EB106" s="27"/>
      <c r="EC106" s="27"/>
      <c r="ED106" s="27"/>
      <c r="EE106" s="27"/>
      <c r="EF106" s="27"/>
      <c r="EG106" s="27"/>
      <c r="EH106" s="27"/>
      <c r="EI106" s="27"/>
      <c r="EJ106" s="27"/>
      <c r="EK106" s="27"/>
      <c r="EL106" s="27"/>
      <c r="EM106" s="27"/>
      <c r="EN106" s="27"/>
      <c r="EO106" s="27"/>
      <c r="EP106" s="27"/>
      <c r="EQ106" s="27"/>
      <c r="ER106" s="27"/>
      <c r="ES106" s="27"/>
      <c r="ET106" s="27"/>
      <c r="EU106" s="27"/>
      <c r="EV106" s="27"/>
      <c r="EW106" s="27"/>
      <c r="EX106" s="27"/>
      <c r="EY106" s="27"/>
      <c r="EZ106" s="27"/>
      <c r="FA106" s="27"/>
      <c r="FB106" s="27"/>
      <c r="FC106" s="27"/>
      <c r="FD106" s="27"/>
      <c r="FE106" s="27"/>
      <c r="FF106" s="27"/>
      <c r="FG106" s="27"/>
      <c r="FH106" s="27"/>
      <c r="FI106" s="27"/>
      <c r="FJ106" s="27"/>
      <c r="FK106" s="27"/>
      <c r="FL106" s="27"/>
      <c r="FM106" s="27"/>
      <c r="FN106" s="27"/>
      <c r="FO106" s="27"/>
      <c r="FP106" s="27"/>
      <c r="FQ106" s="27"/>
      <c r="FR106" s="27"/>
      <c r="FS106" s="27"/>
      <c r="FT106" s="27"/>
      <c r="FU106" s="27"/>
      <c r="FV106" s="27"/>
      <c r="FW106" s="27"/>
      <c r="FX106" s="27"/>
      <c r="FY106" s="27"/>
      <c r="FZ106" s="27"/>
      <c r="GA106" s="27"/>
      <c r="GB106" s="27"/>
      <c r="GC106" s="27"/>
      <c r="GD106" s="27"/>
      <c r="GE106" s="27"/>
      <c r="GF106" s="27"/>
      <c r="GG106" s="27"/>
      <c r="GH106" s="27"/>
      <c r="GI106" s="27"/>
      <c r="GJ106" s="27"/>
      <c r="GK106" s="27"/>
      <c r="GL106" s="27"/>
      <c r="GM106" s="27"/>
      <c r="GN106" s="27"/>
      <c r="GO106" s="27"/>
      <c r="GP106" s="27"/>
      <c r="GQ106" s="27"/>
      <c r="GR106" s="27"/>
      <c r="GS106" s="27"/>
      <c r="GT106" s="27"/>
      <c r="GU106" s="27"/>
      <c r="GV106" s="27"/>
      <c r="GW106" s="27"/>
      <c r="GX106" s="27"/>
      <c r="GY106" s="27"/>
      <c r="GZ106" s="27"/>
      <c r="HA106" s="27"/>
      <c r="HB106" s="27"/>
      <c r="HC106" s="27"/>
      <c r="HD106" s="27"/>
      <c r="HE106" s="27"/>
      <c r="HF106" s="27"/>
      <c r="HG106" s="27"/>
      <c r="HH106" s="27"/>
      <c r="HI106" s="27"/>
      <c r="HJ106" s="27"/>
      <c r="HK106" s="27"/>
      <c r="HL106" s="27"/>
      <c r="HM106" s="27"/>
      <c r="HN106" s="27"/>
      <c r="HO106" s="27"/>
      <c r="HP106" s="27"/>
      <c r="HQ106" s="27"/>
      <c r="HR106" s="27"/>
      <c r="HS106" s="27"/>
      <c r="HT106" s="27"/>
      <c r="HU106" s="27"/>
      <c r="HV106" s="27"/>
      <c r="HW106" s="27"/>
      <c r="HX106" s="27"/>
      <c r="HY106" s="27"/>
      <c r="HZ106" s="27"/>
      <c r="IA106" s="27"/>
      <c r="IB106" s="27"/>
      <c r="IC106" s="27"/>
      <c r="ID106" s="27"/>
      <c r="IE106" s="27"/>
      <c r="IF106" s="27"/>
      <c r="IG106" s="27"/>
      <c r="IH106" s="27"/>
      <c r="II106" s="27"/>
      <c r="IJ106" s="27"/>
      <c r="IK106" s="27"/>
      <c r="IL106" s="27"/>
      <c r="IM106" s="27"/>
      <c r="IN106" s="27"/>
      <c r="IO106" s="27"/>
    </row>
    <row r="107" spans="1:249" ht="15.75" customHeight="1" x14ac:dyDescent="0.25">
      <c r="B107" s="74"/>
      <c r="C107" s="68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351"/>
      <c r="T107" s="351"/>
      <c r="U107" s="351"/>
      <c r="V107" s="419"/>
      <c r="W107" s="351"/>
      <c r="X107" s="419"/>
      <c r="Y107" s="419"/>
      <c r="Z107" s="419"/>
      <c r="AA107" s="419"/>
      <c r="AB107" s="419"/>
      <c r="AC107" s="419"/>
      <c r="AD107" s="419"/>
      <c r="AE107" s="419"/>
    </row>
    <row r="108" spans="1:249" ht="30" customHeight="1" x14ac:dyDescent="0.25">
      <c r="B108" s="1674" t="s">
        <v>1160</v>
      </c>
      <c r="C108" s="1674"/>
      <c r="D108" s="1674"/>
      <c r="E108" s="1674"/>
      <c r="F108" s="1674"/>
      <c r="G108" s="1674"/>
      <c r="H108" s="1674"/>
      <c r="I108" s="1674"/>
      <c r="J108" s="1674"/>
      <c r="K108" s="1674"/>
      <c r="L108" s="1674"/>
      <c r="M108" s="1674"/>
      <c r="N108" s="1674"/>
      <c r="O108" s="1674"/>
      <c r="P108" s="1674"/>
      <c r="Q108" s="1674"/>
      <c r="R108" s="1674"/>
      <c r="S108" s="1674"/>
      <c r="T108" s="1674"/>
      <c r="U108" s="1674"/>
      <c r="V108" s="1674"/>
      <c r="W108" s="1674"/>
      <c r="X108" s="1674"/>
      <c r="Y108" s="1674"/>
      <c r="Z108" s="1674"/>
      <c r="AA108" s="1674"/>
      <c r="AB108" s="1674"/>
      <c r="AC108" s="1674"/>
      <c r="AD108" s="1674"/>
      <c r="AE108" s="1674"/>
      <c r="AF108" s="352"/>
    </row>
    <row r="109" spans="1:249" ht="29.25" customHeight="1" x14ac:dyDescent="0.25">
      <c r="A109" s="15"/>
      <c r="B109" s="1672" t="s">
        <v>1265</v>
      </c>
      <c r="C109" s="1672"/>
      <c r="D109" s="1672"/>
      <c r="E109" s="1672"/>
      <c r="F109" s="1672"/>
      <c r="G109" s="1672"/>
      <c r="H109" s="1672"/>
      <c r="I109" s="1672"/>
      <c r="J109" s="1672"/>
      <c r="K109" s="1672"/>
      <c r="L109" s="1672"/>
      <c r="M109" s="1672"/>
      <c r="N109" s="1672"/>
      <c r="O109" s="1672"/>
      <c r="P109" s="1672"/>
      <c r="Q109" s="1672"/>
      <c r="R109" s="1672"/>
      <c r="S109" s="1672"/>
      <c r="T109" s="1672"/>
      <c r="U109" s="1672"/>
      <c r="V109" s="1672"/>
      <c r="W109" s="1672"/>
      <c r="X109" s="1672"/>
      <c r="Y109" s="1672"/>
      <c r="Z109" s="1672"/>
      <c r="AA109" s="1672"/>
      <c r="AB109" s="1672"/>
      <c r="AC109" s="1672"/>
      <c r="AD109" s="1672"/>
      <c r="AE109" s="1672"/>
      <c r="AF109" s="352"/>
    </row>
    <row r="110" spans="1:249" ht="13.9" customHeight="1" x14ac:dyDescent="0.25">
      <c r="B110" s="21" t="s">
        <v>282</v>
      </c>
    </row>
  </sheetData>
  <sheetProtection selectLockedCells="1" selectUnlockedCells="1"/>
  <mergeCells count="29">
    <mergeCell ref="B109:AE109"/>
    <mergeCell ref="M7:O7"/>
    <mergeCell ref="P7:R7"/>
    <mergeCell ref="S7:W7"/>
    <mergeCell ref="X7:Z7"/>
    <mergeCell ref="B108:AE108"/>
    <mergeCell ref="A1:AE1"/>
    <mergeCell ref="A2:AE2"/>
    <mergeCell ref="A3:AE3"/>
    <mergeCell ref="M5:O5"/>
    <mergeCell ref="P5:R5"/>
    <mergeCell ref="S5:W5"/>
    <mergeCell ref="X5:Z5"/>
    <mergeCell ref="AA5:AE5"/>
    <mergeCell ref="E5:F5"/>
    <mergeCell ref="G5:J5"/>
    <mergeCell ref="A5:A8"/>
    <mergeCell ref="C5:D5"/>
    <mergeCell ref="K5:L5"/>
    <mergeCell ref="E7:F7"/>
    <mergeCell ref="G7:J7"/>
    <mergeCell ref="C7:D7"/>
    <mergeCell ref="S6:Z6"/>
    <mergeCell ref="AA6:AE7"/>
    <mergeCell ref="C6:F6"/>
    <mergeCell ref="G6:L6"/>
    <mergeCell ref="B6:B8"/>
    <mergeCell ref="K7:L7"/>
    <mergeCell ref="M6:R6"/>
  </mergeCells>
  <pageMargins left="0.39370078740157483" right="0.19685039370078741" top="0.19685039370078741" bottom="0.19685039370078741" header="0.51181102362204722" footer="0.51181102362204722"/>
  <pageSetup paperSize="9" scale="45" firstPageNumber="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activeCell="C22" sqref="C22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663" t="s">
        <v>1273</v>
      </c>
      <c r="B1" s="1663"/>
      <c r="C1" s="1663"/>
      <c r="D1" s="1663"/>
      <c r="E1" s="1663"/>
      <c r="F1" s="1663"/>
      <c r="G1" s="1663"/>
      <c r="H1" s="1663"/>
      <c r="I1" s="467"/>
      <c r="J1" s="467"/>
      <c r="K1" s="467"/>
      <c r="L1" s="467"/>
      <c r="M1" s="467"/>
      <c r="N1" s="467"/>
      <c r="O1" s="467"/>
      <c r="P1" s="467"/>
      <c r="Q1" s="467"/>
      <c r="R1" s="467"/>
      <c r="S1" s="467"/>
      <c r="T1" s="467"/>
      <c r="U1" s="467"/>
      <c r="V1" s="467"/>
      <c r="W1" s="467"/>
      <c r="X1" s="467"/>
      <c r="Y1" s="467"/>
      <c r="Z1" s="467"/>
      <c r="AA1" s="467"/>
      <c r="AB1" s="467"/>
      <c r="AC1" s="467"/>
      <c r="AD1" s="467"/>
      <c r="AE1" s="467"/>
      <c r="AF1" s="467"/>
      <c r="AG1" s="467"/>
      <c r="AH1" s="467"/>
      <c r="AI1" s="467"/>
    </row>
    <row r="2" spans="1:35" x14ac:dyDescent="0.2">
      <c r="C2" t="s">
        <v>328</v>
      </c>
    </row>
    <row r="3" spans="1:35" ht="14.25" x14ac:dyDescent="0.2">
      <c r="A3" s="1675" t="s">
        <v>317</v>
      </c>
      <c r="B3" s="1675"/>
      <c r="C3" s="1675"/>
      <c r="D3" s="1675"/>
      <c r="E3" s="1675"/>
      <c r="F3" s="1675"/>
      <c r="G3" s="1675"/>
      <c r="H3" s="1675"/>
    </row>
    <row r="4" spans="1:35" ht="14.25" x14ac:dyDescent="0.2">
      <c r="A4" s="1675" t="s">
        <v>318</v>
      </c>
      <c r="B4" s="1675"/>
      <c r="C4" s="1675"/>
      <c r="D4" s="1675"/>
      <c r="E4" s="1675"/>
      <c r="F4" s="1675"/>
      <c r="G4" s="1675"/>
      <c r="H4" s="1675"/>
    </row>
    <row r="5" spans="1:35" ht="14.25" x14ac:dyDescent="0.2">
      <c r="A5" s="1676" t="s">
        <v>55</v>
      </c>
      <c r="B5" s="1676"/>
      <c r="C5" s="1676"/>
      <c r="D5" s="1676"/>
      <c r="E5" s="1676"/>
      <c r="F5" s="1676"/>
      <c r="G5" s="1676"/>
      <c r="H5" s="1676"/>
    </row>
    <row r="6" spans="1:35" ht="15" x14ac:dyDescent="0.25">
      <c r="A6" s="274"/>
      <c r="B6" s="429"/>
      <c r="C6" s="429"/>
      <c r="D6" s="429"/>
      <c r="E6" s="429"/>
    </row>
    <row r="7" spans="1:35" ht="14.25" customHeight="1" x14ac:dyDescent="0.2">
      <c r="A7" s="1677"/>
      <c r="B7" s="430" t="s">
        <v>57</v>
      </c>
      <c r="C7" s="430" t="s">
        <v>58</v>
      </c>
      <c r="D7" s="430" t="s">
        <v>59</v>
      </c>
      <c r="E7" s="430" t="s">
        <v>60</v>
      </c>
      <c r="F7" s="431" t="s">
        <v>471</v>
      </c>
      <c r="G7" s="431" t="s">
        <v>472</v>
      </c>
      <c r="H7" s="431" t="s">
        <v>473</v>
      </c>
    </row>
    <row r="8" spans="1:35" ht="14.25" customHeight="1" x14ac:dyDescent="0.2">
      <c r="A8" s="1677"/>
      <c r="B8" s="1678" t="s">
        <v>780</v>
      </c>
      <c r="C8" s="1679" t="s">
        <v>320</v>
      </c>
      <c r="D8" s="1680" t="s">
        <v>321</v>
      </c>
      <c r="E8" s="1681"/>
      <c r="F8" s="1682"/>
    </row>
    <row r="9" spans="1:35" ht="15.75" x14ac:dyDescent="0.25">
      <c r="A9" s="1677"/>
      <c r="B9" s="1678"/>
      <c r="C9" s="1679"/>
      <c r="D9" s="1680"/>
      <c r="E9" s="277">
        <v>2015</v>
      </c>
      <c r="F9" s="432">
        <v>2017</v>
      </c>
      <c r="G9" s="454">
        <v>2017</v>
      </c>
      <c r="H9" s="454">
        <v>2018</v>
      </c>
    </row>
    <row r="10" spans="1:35" ht="15" x14ac:dyDescent="0.25">
      <c r="A10" s="433"/>
      <c r="B10" s="434" t="s">
        <v>327</v>
      </c>
      <c r="C10" s="435"/>
      <c r="D10" s="455"/>
      <c r="E10" s="435"/>
    </row>
    <row r="11" spans="1:35" ht="15" x14ac:dyDescent="0.25">
      <c r="A11" s="436">
        <v>1</v>
      </c>
      <c r="B11" s="437" t="s">
        <v>781</v>
      </c>
      <c r="C11" s="438" t="s">
        <v>782</v>
      </c>
      <c r="D11" s="456" t="s">
        <v>333</v>
      </c>
      <c r="E11" s="439">
        <v>41</v>
      </c>
      <c r="F11" s="439">
        <v>50</v>
      </c>
      <c r="G11" s="439">
        <v>50</v>
      </c>
      <c r="H11" s="439">
        <v>50</v>
      </c>
    </row>
    <row r="12" spans="1:35" ht="15" x14ac:dyDescent="0.25">
      <c r="A12" s="436">
        <v>2</v>
      </c>
      <c r="B12" s="437" t="s">
        <v>783</v>
      </c>
      <c r="C12" s="438" t="s">
        <v>784</v>
      </c>
      <c r="D12" s="456" t="s">
        <v>333</v>
      </c>
      <c r="E12" s="439">
        <v>125</v>
      </c>
      <c r="F12" s="439">
        <v>147</v>
      </c>
      <c r="G12" s="439">
        <v>147</v>
      </c>
      <c r="H12" s="439">
        <v>147</v>
      </c>
    </row>
    <row r="13" spans="1:35" ht="25.5" customHeight="1" x14ac:dyDescent="0.25">
      <c r="A13" s="436">
        <v>3</v>
      </c>
      <c r="B13" s="440" t="s">
        <v>785</v>
      </c>
      <c r="C13" s="441" t="s">
        <v>728</v>
      </c>
      <c r="D13" s="457" t="s">
        <v>333</v>
      </c>
      <c r="E13" s="442"/>
      <c r="F13" s="442">
        <v>240</v>
      </c>
      <c r="G13" s="442">
        <v>240</v>
      </c>
      <c r="H13" s="442">
        <v>240</v>
      </c>
    </row>
    <row r="14" spans="1:35" ht="15" x14ac:dyDescent="0.25">
      <c r="A14" s="436">
        <v>4</v>
      </c>
      <c r="B14" s="437" t="s">
        <v>376</v>
      </c>
      <c r="C14" s="438" t="s">
        <v>786</v>
      </c>
      <c r="D14" s="456" t="s">
        <v>333</v>
      </c>
      <c r="E14" s="439">
        <v>330</v>
      </c>
      <c r="F14" s="439">
        <v>335</v>
      </c>
      <c r="G14" s="439">
        <v>335</v>
      </c>
      <c r="H14" s="439">
        <v>335</v>
      </c>
    </row>
    <row r="15" spans="1:35" ht="15" x14ac:dyDescent="0.25">
      <c r="A15" s="436">
        <v>5</v>
      </c>
      <c r="B15" s="437" t="s">
        <v>378</v>
      </c>
      <c r="C15" s="438" t="s">
        <v>787</v>
      </c>
      <c r="D15" s="456" t="s">
        <v>333</v>
      </c>
      <c r="E15" s="439">
        <v>930</v>
      </c>
      <c r="F15" s="439">
        <v>960</v>
      </c>
      <c r="G15" s="439">
        <v>960</v>
      </c>
      <c r="H15" s="439">
        <v>960</v>
      </c>
    </row>
    <row r="16" spans="1:35" ht="15" x14ac:dyDescent="0.25">
      <c r="A16" s="436">
        <v>6</v>
      </c>
      <c r="B16" s="437" t="s">
        <v>788</v>
      </c>
      <c r="C16" s="438" t="s">
        <v>789</v>
      </c>
      <c r="D16" s="456" t="s">
        <v>333</v>
      </c>
      <c r="E16" s="439"/>
      <c r="F16" s="439">
        <v>700</v>
      </c>
      <c r="G16" s="439">
        <v>700</v>
      </c>
      <c r="H16" s="439">
        <v>700</v>
      </c>
    </row>
    <row r="17" spans="1:8" ht="15" x14ac:dyDescent="0.25">
      <c r="A17" s="436">
        <v>7</v>
      </c>
      <c r="B17" s="438" t="s">
        <v>396</v>
      </c>
      <c r="C17" s="438" t="s">
        <v>790</v>
      </c>
      <c r="D17" s="458" t="s">
        <v>333</v>
      </c>
      <c r="E17" s="439">
        <v>225</v>
      </c>
      <c r="F17" s="439">
        <v>271</v>
      </c>
      <c r="G17" s="439">
        <v>271</v>
      </c>
      <c r="H17" s="439">
        <v>271</v>
      </c>
    </row>
    <row r="18" spans="1:8" ht="24.75" customHeight="1" x14ac:dyDescent="0.25">
      <c r="A18" s="436">
        <v>8</v>
      </c>
      <c r="B18" s="443" t="s">
        <v>791</v>
      </c>
      <c r="C18" s="444" t="s">
        <v>792</v>
      </c>
      <c r="D18" s="459" t="s">
        <v>333</v>
      </c>
      <c r="E18" s="445">
        <v>233</v>
      </c>
      <c r="F18" s="445">
        <v>236</v>
      </c>
      <c r="G18" s="445">
        <v>236</v>
      </c>
      <c r="H18" s="445">
        <v>236</v>
      </c>
    </row>
    <row r="19" spans="1:8" ht="20.25" customHeight="1" x14ac:dyDescent="0.25">
      <c r="A19" s="436">
        <v>9</v>
      </c>
      <c r="B19" s="443" t="s">
        <v>402</v>
      </c>
      <c r="C19" s="444" t="s">
        <v>793</v>
      </c>
      <c r="D19" s="459" t="s">
        <v>333</v>
      </c>
      <c r="E19" s="445">
        <v>250</v>
      </c>
      <c r="F19" s="445">
        <v>200</v>
      </c>
      <c r="G19" s="445">
        <v>200</v>
      </c>
      <c r="H19" s="445">
        <v>200</v>
      </c>
    </row>
    <row r="20" spans="1:8" ht="27.75" customHeight="1" x14ac:dyDescent="0.25">
      <c r="A20" s="436">
        <v>10</v>
      </c>
      <c r="B20" s="443" t="s">
        <v>413</v>
      </c>
      <c r="C20" s="444" t="s">
        <v>794</v>
      </c>
      <c r="D20" s="459" t="s">
        <v>333</v>
      </c>
      <c r="E20" s="445">
        <v>1800</v>
      </c>
      <c r="F20" s="445">
        <v>1800</v>
      </c>
      <c r="G20" s="445">
        <v>1800</v>
      </c>
      <c r="H20" s="445">
        <v>1800</v>
      </c>
    </row>
    <row r="21" spans="1:8" ht="28.5" customHeight="1" x14ac:dyDescent="0.25">
      <c r="A21" s="436">
        <v>11</v>
      </c>
      <c r="B21" s="443" t="s">
        <v>415</v>
      </c>
      <c r="C21" s="444" t="s">
        <v>795</v>
      </c>
      <c r="D21" s="459" t="s">
        <v>333</v>
      </c>
      <c r="E21" s="445">
        <v>2000</v>
      </c>
      <c r="F21" s="445">
        <v>2000</v>
      </c>
      <c r="G21" s="445">
        <v>2000</v>
      </c>
      <c r="H21" s="445">
        <v>2000</v>
      </c>
    </row>
    <row r="22" spans="1:8" ht="48" customHeight="1" x14ac:dyDescent="0.2">
      <c r="A22" s="460">
        <v>12</v>
      </c>
      <c r="B22" s="446" t="s">
        <v>796</v>
      </c>
      <c r="C22" s="461" t="s">
        <v>797</v>
      </c>
      <c r="D22" s="462" t="s">
        <v>333</v>
      </c>
      <c r="E22" s="463"/>
      <c r="F22" s="463">
        <v>97</v>
      </c>
      <c r="G22" s="463">
        <v>97</v>
      </c>
      <c r="H22" s="463">
        <v>97</v>
      </c>
    </row>
    <row r="23" spans="1:8" ht="30" customHeight="1" x14ac:dyDescent="0.25">
      <c r="A23" s="436">
        <v>13</v>
      </c>
      <c r="B23" s="443" t="s">
        <v>798</v>
      </c>
      <c r="C23" s="444" t="s">
        <v>799</v>
      </c>
      <c r="D23" s="459">
        <v>43465</v>
      </c>
      <c r="E23" s="445"/>
      <c r="F23" s="445">
        <v>991</v>
      </c>
      <c r="G23" s="445">
        <v>991</v>
      </c>
      <c r="H23" s="445">
        <v>991</v>
      </c>
    </row>
    <row r="24" spans="1:8" ht="33" customHeight="1" x14ac:dyDescent="0.25">
      <c r="A24" s="436">
        <v>14</v>
      </c>
      <c r="B24" s="443" t="s">
        <v>800</v>
      </c>
      <c r="C24" s="444" t="s">
        <v>801</v>
      </c>
      <c r="D24" s="459" t="s">
        <v>333</v>
      </c>
      <c r="E24" s="445"/>
      <c r="F24" s="445">
        <v>515</v>
      </c>
      <c r="G24" s="445">
        <v>515</v>
      </c>
      <c r="H24" s="445">
        <v>515</v>
      </c>
    </row>
    <row r="25" spans="1:8" ht="15" x14ac:dyDescent="0.25">
      <c r="A25" s="436">
        <v>17</v>
      </c>
      <c r="B25" s="448" t="s">
        <v>802</v>
      </c>
      <c r="C25" s="448" t="s">
        <v>803</v>
      </c>
      <c r="D25" s="464">
        <v>43009</v>
      </c>
      <c r="E25" s="449"/>
      <c r="F25" s="450">
        <v>3500</v>
      </c>
      <c r="G25" s="450">
        <v>3500</v>
      </c>
      <c r="H25" s="450">
        <v>3500</v>
      </c>
    </row>
    <row r="26" spans="1:8" ht="15" x14ac:dyDescent="0.25">
      <c r="A26" s="436">
        <v>22</v>
      </c>
      <c r="B26" s="448" t="s">
        <v>804</v>
      </c>
      <c r="C26" s="448" t="s">
        <v>805</v>
      </c>
      <c r="D26" s="464" t="s">
        <v>333</v>
      </c>
      <c r="E26" s="451"/>
      <c r="F26" s="450">
        <v>248</v>
      </c>
      <c r="G26" s="450">
        <v>248</v>
      </c>
      <c r="H26" s="450">
        <v>248</v>
      </c>
    </row>
    <row r="27" spans="1:8" ht="15.75" x14ac:dyDescent="0.25">
      <c r="A27" s="436">
        <v>23</v>
      </c>
      <c r="B27" s="448" t="s">
        <v>806</v>
      </c>
      <c r="C27" s="448" t="s">
        <v>807</v>
      </c>
      <c r="D27" s="453" t="s">
        <v>333</v>
      </c>
      <c r="E27" s="452"/>
      <c r="F27" s="450">
        <v>168</v>
      </c>
      <c r="G27" s="450">
        <v>168</v>
      </c>
      <c r="H27" s="450">
        <v>168</v>
      </c>
    </row>
    <row r="28" spans="1:8" ht="15.75" x14ac:dyDescent="0.25">
      <c r="A28" s="465">
        <v>24</v>
      </c>
      <c r="B28" s="448" t="s">
        <v>808</v>
      </c>
      <c r="C28" s="448" t="s">
        <v>809</v>
      </c>
      <c r="D28" s="453" t="s">
        <v>333</v>
      </c>
      <c r="E28" s="452"/>
      <c r="F28" s="450">
        <v>76</v>
      </c>
      <c r="G28" s="450">
        <v>76</v>
      </c>
      <c r="H28" s="450">
        <v>76</v>
      </c>
    </row>
    <row r="29" spans="1:8" ht="15.75" x14ac:dyDescent="0.25">
      <c r="A29" s="436">
        <v>25</v>
      </c>
      <c r="B29" s="452"/>
      <c r="C29" s="448" t="s">
        <v>810</v>
      </c>
      <c r="D29" s="453" t="s">
        <v>333</v>
      </c>
      <c r="E29" s="452"/>
      <c r="F29" s="447">
        <v>127</v>
      </c>
      <c r="G29" s="447">
        <v>127</v>
      </c>
      <c r="H29" s="447">
        <v>127</v>
      </c>
    </row>
    <row r="30" spans="1:8" ht="15" x14ac:dyDescent="0.25">
      <c r="A30" s="436">
        <v>26</v>
      </c>
      <c r="B30" s="448" t="s">
        <v>811</v>
      </c>
      <c r="C30" s="448" t="s">
        <v>812</v>
      </c>
      <c r="D30" s="464">
        <v>42855</v>
      </c>
      <c r="E30" s="451"/>
      <c r="F30" s="450">
        <v>1531</v>
      </c>
      <c r="G30" s="450">
        <v>1531</v>
      </c>
      <c r="H30" s="450">
        <v>1531</v>
      </c>
    </row>
    <row r="31" spans="1:8" ht="15" x14ac:dyDescent="0.25">
      <c r="A31" s="436">
        <v>27</v>
      </c>
      <c r="B31" s="448" t="s">
        <v>768</v>
      </c>
      <c r="C31" s="448" t="s">
        <v>813</v>
      </c>
      <c r="D31" s="464">
        <v>42855</v>
      </c>
      <c r="E31" s="451"/>
      <c r="F31" s="450">
        <v>3446</v>
      </c>
      <c r="G31" s="450">
        <v>3446</v>
      </c>
      <c r="H31" s="450">
        <v>3446</v>
      </c>
    </row>
    <row r="32" spans="1:8" ht="15" x14ac:dyDescent="0.25">
      <c r="A32" s="436">
        <v>28</v>
      </c>
      <c r="B32" s="448" t="s">
        <v>766</v>
      </c>
      <c r="C32" s="448" t="s">
        <v>814</v>
      </c>
      <c r="D32" s="464">
        <v>42825</v>
      </c>
      <c r="E32" s="451"/>
      <c r="F32" s="450">
        <v>1727</v>
      </c>
      <c r="G32" s="450">
        <v>1727</v>
      </c>
      <c r="H32" s="450">
        <v>1727</v>
      </c>
    </row>
    <row r="33" spans="1:8" ht="15" x14ac:dyDescent="0.25">
      <c r="A33" s="436">
        <v>29</v>
      </c>
      <c r="B33" s="448" t="s">
        <v>815</v>
      </c>
      <c r="C33" s="448" t="s">
        <v>816</v>
      </c>
      <c r="D33" s="464">
        <v>42916</v>
      </c>
      <c r="E33" s="449"/>
      <c r="F33" s="450">
        <v>1270</v>
      </c>
      <c r="G33" s="450">
        <v>1270</v>
      </c>
      <c r="H33" s="450">
        <v>1270</v>
      </c>
    </row>
    <row r="34" spans="1:8" ht="15" x14ac:dyDescent="0.25">
      <c r="A34" s="436">
        <v>30</v>
      </c>
      <c r="B34" s="448"/>
      <c r="C34" s="448" t="s">
        <v>817</v>
      </c>
      <c r="D34" s="464" t="s">
        <v>333</v>
      </c>
      <c r="E34" s="449"/>
      <c r="F34" s="450">
        <v>355</v>
      </c>
      <c r="G34" s="450">
        <v>355</v>
      </c>
      <c r="H34" s="450">
        <v>355</v>
      </c>
    </row>
    <row r="35" spans="1:8" ht="15" x14ac:dyDescent="0.25">
      <c r="A35" s="436">
        <v>31</v>
      </c>
      <c r="B35" s="448"/>
      <c r="C35" s="448" t="s">
        <v>818</v>
      </c>
      <c r="D35" s="464" t="s">
        <v>333</v>
      </c>
      <c r="E35" s="449"/>
      <c r="F35" s="450">
        <v>321</v>
      </c>
      <c r="G35" s="450">
        <v>321</v>
      </c>
      <c r="H35" s="450">
        <v>321</v>
      </c>
    </row>
    <row r="36" spans="1:8" ht="15" x14ac:dyDescent="0.25">
      <c r="A36" s="436">
        <v>32</v>
      </c>
      <c r="B36" s="448"/>
      <c r="C36" s="448" t="s">
        <v>819</v>
      </c>
      <c r="D36" s="464" t="s">
        <v>333</v>
      </c>
      <c r="E36" s="449"/>
      <c r="F36" s="450">
        <v>458</v>
      </c>
      <c r="G36" s="450">
        <v>458</v>
      </c>
      <c r="H36" s="450">
        <v>458</v>
      </c>
    </row>
    <row r="37" spans="1:8" ht="15" x14ac:dyDescent="0.25">
      <c r="A37" s="436">
        <v>33</v>
      </c>
      <c r="B37" s="448" t="s">
        <v>894</v>
      </c>
      <c r="C37" s="448" t="s">
        <v>895</v>
      </c>
      <c r="D37" s="464" t="s">
        <v>333</v>
      </c>
      <c r="E37" s="449"/>
      <c r="F37" s="450">
        <v>131</v>
      </c>
      <c r="G37" s="450">
        <v>131</v>
      </c>
      <c r="H37" s="450">
        <v>131</v>
      </c>
    </row>
    <row r="38" spans="1:8" ht="30" x14ac:dyDescent="0.25">
      <c r="A38" s="436">
        <v>34</v>
      </c>
      <c r="B38" s="448" t="s">
        <v>896</v>
      </c>
      <c r="C38" s="516" t="s">
        <v>897</v>
      </c>
      <c r="D38" s="464" t="s">
        <v>333</v>
      </c>
      <c r="E38" s="449"/>
      <c r="F38" s="450">
        <v>686</v>
      </c>
      <c r="G38" s="450">
        <v>686</v>
      </c>
      <c r="H38" s="450">
        <v>686</v>
      </c>
    </row>
    <row r="39" spans="1:8" ht="15" x14ac:dyDescent="0.25">
      <c r="A39" s="436"/>
      <c r="B39" s="448"/>
      <c r="C39" s="516" t="s">
        <v>898</v>
      </c>
      <c r="D39" s="464" t="s">
        <v>333</v>
      </c>
      <c r="E39" s="449"/>
      <c r="F39" s="450">
        <v>550</v>
      </c>
      <c r="G39" s="450">
        <v>550</v>
      </c>
      <c r="H39" s="450">
        <v>550</v>
      </c>
    </row>
    <row r="40" spans="1:8" ht="15" x14ac:dyDescent="0.25">
      <c r="A40" s="436"/>
      <c r="B40" s="448"/>
      <c r="C40" s="516" t="s">
        <v>893</v>
      </c>
      <c r="D40" s="464" t="s">
        <v>333</v>
      </c>
      <c r="E40" s="449"/>
      <c r="F40" s="450">
        <v>4000</v>
      </c>
      <c r="G40" s="450">
        <v>4000</v>
      </c>
      <c r="H40" s="450">
        <v>4000</v>
      </c>
    </row>
    <row r="41" spans="1:8" ht="15.75" x14ac:dyDescent="0.25">
      <c r="E41" s="466">
        <v>5934</v>
      </c>
      <c r="F41" s="466">
        <f>SUM(F11:F40)</f>
        <v>27136</v>
      </c>
      <c r="G41" s="466">
        <f>SUM(G11:G40)</f>
        <v>27136</v>
      </c>
      <c r="H41" s="466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AA50"/>
  <sheetViews>
    <sheetView topLeftCell="A4" zoomScale="120" workbookViewId="0">
      <selection activeCell="F7" sqref="F7:J8"/>
    </sheetView>
  </sheetViews>
  <sheetFormatPr defaultColWidth="9.140625" defaultRowHeight="11.25" x14ac:dyDescent="0.2"/>
  <cols>
    <col min="1" max="1" width="4.85546875" style="113" customWidth="1"/>
    <col min="2" max="2" width="42.85546875" style="113" customWidth="1"/>
    <col min="3" max="3" width="11" style="114" customWidth="1"/>
    <col min="4" max="4" width="11.42578125" style="114" customWidth="1"/>
    <col min="5" max="10" width="12" style="114" customWidth="1"/>
    <col min="11" max="11" width="41.7109375" style="114" customWidth="1"/>
    <col min="12" max="12" width="11.140625" style="114" customWidth="1"/>
    <col min="13" max="13" width="12.85546875" style="114" customWidth="1"/>
    <col min="14" max="14" width="16" style="114" customWidth="1"/>
    <col min="15" max="27" width="9.140625" style="113"/>
    <col min="28" max="16384" width="9.140625" style="9"/>
  </cols>
  <sheetData>
    <row r="1" spans="1:27" ht="12.75" customHeight="1" x14ac:dyDescent="0.2">
      <c r="A1" s="1409" t="s">
        <v>1328</v>
      </c>
      <c r="B1" s="1409"/>
      <c r="C1" s="1409"/>
      <c r="D1" s="1409"/>
      <c r="E1" s="1409"/>
      <c r="F1" s="1409"/>
      <c r="G1" s="1409"/>
      <c r="H1" s="1409"/>
      <c r="I1" s="1409"/>
      <c r="J1" s="1409"/>
      <c r="K1" s="1409"/>
      <c r="L1" s="1409"/>
      <c r="M1" s="1409"/>
      <c r="N1" s="1409"/>
    </row>
    <row r="2" spans="1:27" x14ac:dyDescent="0.2">
      <c r="B2" s="399"/>
      <c r="N2" s="115"/>
    </row>
    <row r="3" spans="1:27" s="95" customFormat="1" x14ac:dyDescent="0.2">
      <c r="A3" s="116"/>
      <c r="B3" s="1414" t="s">
        <v>54</v>
      </c>
      <c r="C3" s="1414"/>
      <c r="D3" s="1414"/>
      <c r="E3" s="1414"/>
      <c r="F3" s="1414"/>
      <c r="G3" s="1414"/>
      <c r="H3" s="1414"/>
      <c r="I3" s="1414"/>
      <c r="J3" s="1414"/>
      <c r="K3" s="1414"/>
      <c r="L3" s="1414"/>
      <c r="M3" s="1414"/>
      <c r="N3" s="1414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</row>
    <row r="4" spans="1:27" s="95" customFormat="1" x14ac:dyDescent="0.2">
      <c r="A4" s="116"/>
      <c r="B4" s="1414" t="s">
        <v>1173</v>
      </c>
      <c r="C4" s="1414"/>
      <c r="D4" s="1414"/>
      <c r="E4" s="1414"/>
      <c r="F4" s="1414"/>
      <c r="G4" s="1414"/>
      <c r="H4" s="1414"/>
      <c r="I4" s="1414"/>
      <c r="J4" s="1414"/>
      <c r="K4" s="1414"/>
      <c r="L4" s="1414"/>
      <c r="M4" s="1414"/>
      <c r="N4" s="1414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</row>
    <row r="5" spans="1:27" s="95" customFormat="1" ht="12.75" customHeight="1" x14ac:dyDescent="0.2">
      <c r="A5" s="1433" t="s">
        <v>305</v>
      </c>
      <c r="B5" s="1433"/>
      <c r="C5" s="1433"/>
      <c r="D5" s="1433"/>
      <c r="E5" s="1433"/>
      <c r="F5" s="1433"/>
      <c r="G5" s="1433"/>
      <c r="H5" s="1433"/>
      <c r="I5" s="1433"/>
      <c r="J5" s="1433"/>
      <c r="K5" s="1433"/>
      <c r="L5" s="1416"/>
      <c r="M5" s="1416"/>
      <c r="N5" s="14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</row>
    <row r="6" spans="1:27" s="95" customFormat="1" ht="12.75" customHeight="1" x14ac:dyDescent="0.2">
      <c r="A6" s="1434" t="s">
        <v>56</v>
      </c>
      <c r="B6" s="1436" t="s">
        <v>57</v>
      </c>
      <c r="C6" s="1437" t="s">
        <v>58</v>
      </c>
      <c r="D6" s="1438"/>
      <c r="E6" s="1438"/>
      <c r="F6" s="1438"/>
      <c r="G6" s="1438"/>
      <c r="H6" s="1438"/>
      <c r="I6" s="1438"/>
      <c r="J6" s="1438"/>
      <c r="K6" s="1" t="s">
        <v>59</v>
      </c>
      <c r="L6" s="1430" t="s">
        <v>60</v>
      </c>
      <c r="M6" s="1430"/>
      <c r="N6" s="1430"/>
      <c r="O6" s="1430"/>
      <c r="P6" s="1430"/>
      <c r="Q6" s="1430"/>
      <c r="R6" s="1430"/>
      <c r="S6" s="1430"/>
      <c r="T6" s="116"/>
      <c r="U6" s="116"/>
    </row>
    <row r="7" spans="1:27" s="95" customFormat="1" ht="12.75" customHeight="1" x14ac:dyDescent="0.2">
      <c r="A7" s="1435"/>
      <c r="B7" s="1436"/>
      <c r="C7" s="1431" t="s">
        <v>1162</v>
      </c>
      <c r="D7" s="1431"/>
      <c r="E7" s="1432"/>
      <c r="F7" s="1413" t="s">
        <v>1337</v>
      </c>
      <c r="G7" s="1413"/>
      <c r="H7" s="1413" t="s">
        <v>1338</v>
      </c>
      <c r="I7" s="1413"/>
      <c r="J7" s="1413"/>
      <c r="K7" s="798"/>
      <c r="L7" s="1413" t="s">
        <v>1162</v>
      </c>
      <c r="M7" s="1413"/>
      <c r="N7" s="1413"/>
      <c r="O7" s="1413" t="s">
        <v>1337</v>
      </c>
      <c r="P7" s="1413"/>
      <c r="Q7" s="1413" t="s">
        <v>1338</v>
      </c>
      <c r="R7" s="1413"/>
      <c r="S7" s="1413"/>
    </row>
    <row r="8" spans="1:27" s="96" customFormat="1" ht="36.6" customHeight="1" x14ac:dyDescent="0.2">
      <c r="A8" s="1435"/>
      <c r="B8" s="736" t="s">
        <v>61</v>
      </c>
      <c r="C8" s="737" t="s">
        <v>62</v>
      </c>
      <c r="D8" s="737" t="s">
        <v>63</v>
      </c>
      <c r="E8" s="738" t="s">
        <v>64</v>
      </c>
      <c r="F8" s="737" t="s">
        <v>62</v>
      </c>
      <c r="G8" s="737" t="s">
        <v>63</v>
      </c>
      <c r="H8" s="737" t="s">
        <v>62</v>
      </c>
      <c r="I8" s="737" t="s">
        <v>63</v>
      </c>
      <c r="J8" s="738" t="s">
        <v>64</v>
      </c>
      <c r="K8" s="739" t="s">
        <v>65</v>
      </c>
      <c r="L8" s="740" t="s">
        <v>62</v>
      </c>
      <c r="M8" s="740" t="s">
        <v>63</v>
      </c>
      <c r="N8" s="740" t="s">
        <v>64</v>
      </c>
      <c r="O8" s="740" t="s">
        <v>62</v>
      </c>
      <c r="P8" s="740" t="s">
        <v>63</v>
      </c>
      <c r="Q8" s="740" t="s">
        <v>62</v>
      </c>
      <c r="R8" s="740" t="s">
        <v>63</v>
      </c>
      <c r="S8" s="740" t="s">
        <v>64</v>
      </c>
    </row>
    <row r="9" spans="1:27" ht="11.45" customHeight="1" x14ac:dyDescent="0.2">
      <c r="A9" s="799">
        <v>1</v>
      </c>
      <c r="B9" s="741" t="s">
        <v>24</v>
      </c>
      <c r="C9" s="742"/>
      <c r="D9" s="742"/>
      <c r="E9" s="742"/>
      <c r="F9" s="742"/>
      <c r="G9" s="742"/>
      <c r="H9" s="742"/>
      <c r="I9" s="742"/>
      <c r="J9" s="742"/>
      <c r="K9" s="743" t="s">
        <v>25</v>
      </c>
      <c r="L9" s="742"/>
      <c r="M9" s="742"/>
      <c r="N9" s="744"/>
      <c r="O9" s="745"/>
      <c r="P9" s="745"/>
      <c r="Q9" s="745"/>
      <c r="R9" s="745"/>
      <c r="S9" s="746"/>
      <c r="T9" s="9"/>
      <c r="U9" s="9"/>
      <c r="V9" s="9"/>
      <c r="W9" s="9"/>
      <c r="X9" s="9"/>
      <c r="Y9" s="9"/>
      <c r="Z9" s="9"/>
      <c r="AA9" s="9"/>
    </row>
    <row r="10" spans="1:27" x14ac:dyDescent="0.2">
      <c r="A10" s="799">
        <f t="shared" ref="A10:A45" si="0">A9+1</f>
        <v>2</v>
      </c>
      <c r="B10" s="747"/>
      <c r="C10" s="752"/>
      <c r="D10" s="752"/>
      <c r="E10" s="752"/>
      <c r="F10" s="752"/>
      <c r="G10" s="752"/>
      <c r="H10" s="752"/>
      <c r="I10" s="752"/>
      <c r="J10" s="752"/>
      <c r="K10" s="752"/>
      <c r="L10" s="752"/>
      <c r="M10" s="752"/>
      <c r="N10" s="800"/>
      <c r="O10" s="745"/>
      <c r="P10" s="745"/>
      <c r="Q10" s="745"/>
      <c r="R10" s="745"/>
      <c r="S10" s="746"/>
      <c r="T10" s="9"/>
      <c r="U10" s="9"/>
      <c r="V10" s="9"/>
      <c r="W10" s="9"/>
      <c r="X10" s="9"/>
      <c r="Y10" s="9"/>
      <c r="Z10" s="9"/>
      <c r="AA10" s="9"/>
    </row>
    <row r="11" spans="1:27" x14ac:dyDescent="0.2">
      <c r="A11" s="799">
        <f t="shared" si="0"/>
        <v>3</v>
      </c>
      <c r="B11" s="747" t="s">
        <v>38</v>
      </c>
      <c r="C11" s="752">
        <f>Össz.önkor.mérleg.!C14</f>
        <v>0</v>
      </c>
      <c r="D11" s="752">
        <f>Össz.önkor.mérleg.!D14</f>
        <v>0</v>
      </c>
      <c r="E11" s="752">
        <f>Össz.önkor.mérleg.!E14</f>
        <v>0</v>
      </c>
      <c r="F11" s="752"/>
      <c r="G11" s="752"/>
      <c r="H11" s="752"/>
      <c r="I11" s="752"/>
      <c r="J11" s="752"/>
      <c r="K11" s="743" t="s">
        <v>34</v>
      </c>
      <c r="L11" s="742"/>
      <c r="M11" s="742"/>
      <c r="N11" s="744"/>
      <c r="O11" s="745"/>
      <c r="P11" s="745"/>
      <c r="Q11" s="745"/>
      <c r="R11" s="745"/>
      <c r="S11" s="746"/>
      <c r="T11" s="9"/>
      <c r="U11" s="9"/>
      <c r="V11" s="9"/>
      <c r="W11" s="9"/>
      <c r="X11" s="9"/>
      <c r="Y11" s="9"/>
      <c r="Z11" s="9"/>
      <c r="AA11" s="9"/>
    </row>
    <row r="12" spans="1:27" x14ac:dyDescent="0.2">
      <c r="A12" s="799">
        <f t="shared" si="0"/>
        <v>4</v>
      </c>
      <c r="B12" s="747" t="s">
        <v>1139</v>
      </c>
      <c r="C12" s="752">
        <f>Össz.önkor.mérleg.!C15</f>
        <v>0</v>
      </c>
      <c r="D12" s="752">
        <f>Össz.önkor.mérleg.!D15</f>
        <v>0</v>
      </c>
      <c r="E12" s="752">
        <f>Össz.önkor.mérleg.!E15</f>
        <v>0</v>
      </c>
      <c r="F12" s="752"/>
      <c r="G12" s="752"/>
      <c r="H12" s="752"/>
      <c r="I12" s="752"/>
      <c r="J12" s="752"/>
      <c r="K12" s="743"/>
      <c r="L12" s="742"/>
      <c r="M12" s="742"/>
      <c r="N12" s="744"/>
      <c r="O12" s="745"/>
      <c r="P12" s="745"/>
      <c r="Q12" s="745"/>
      <c r="R12" s="745"/>
      <c r="S12" s="746"/>
      <c r="T12" s="9"/>
      <c r="U12" s="9"/>
      <c r="V12" s="9"/>
      <c r="W12" s="9"/>
      <c r="X12" s="9"/>
      <c r="Y12" s="9"/>
      <c r="Z12" s="9"/>
      <c r="AA12" s="9"/>
    </row>
    <row r="13" spans="1:27" x14ac:dyDescent="0.2">
      <c r="A13" s="799">
        <f t="shared" si="0"/>
        <v>5</v>
      </c>
      <c r="B13" s="750" t="s">
        <v>1140</v>
      </c>
      <c r="C13" s="752">
        <f>Össz.önkor.mérleg.!C16</f>
        <v>0</v>
      </c>
      <c r="D13" s="752">
        <f>Össz.önkor.mérleg.!D16</f>
        <v>0</v>
      </c>
      <c r="E13" s="752">
        <f>Össz.önkor.mérleg.!E16</f>
        <v>0</v>
      </c>
      <c r="F13" s="752"/>
      <c r="G13" s="752"/>
      <c r="H13" s="752"/>
      <c r="I13" s="752"/>
      <c r="J13" s="752"/>
      <c r="K13" s="743"/>
      <c r="L13" s="742"/>
      <c r="M13" s="742"/>
      <c r="N13" s="744"/>
      <c r="O13" s="745"/>
      <c r="P13" s="745"/>
      <c r="Q13" s="745"/>
      <c r="R13" s="745"/>
      <c r="S13" s="746"/>
      <c r="T13" s="9"/>
      <c r="U13" s="9"/>
      <c r="V13" s="9"/>
      <c r="W13" s="9"/>
      <c r="X13" s="9"/>
      <c r="Y13" s="9"/>
      <c r="Z13" s="9"/>
      <c r="AA13" s="9"/>
    </row>
    <row r="14" spans="1:27" x14ac:dyDescent="0.2">
      <c r="A14" s="799">
        <f t="shared" si="0"/>
        <v>6</v>
      </c>
      <c r="B14" s="745" t="s">
        <v>636</v>
      </c>
      <c r="C14" s="752"/>
      <c r="D14" s="800"/>
      <c r="E14" s="800"/>
      <c r="F14" s="800"/>
      <c r="G14" s="800"/>
      <c r="H14" s="800"/>
      <c r="I14" s="800"/>
      <c r="J14" s="800"/>
      <c r="K14" s="752" t="s">
        <v>631</v>
      </c>
      <c r="L14" s="744">
        <f>Össz.önkor.mérleg.!L27</f>
        <v>924503</v>
      </c>
      <c r="M14" s="744">
        <f>Össz.önkor.mérleg.!M27</f>
        <v>218985</v>
      </c>
      <c r="N14" s="744">
        <f>Össz.önkor.mérleg.!N27</f>
        <v>1143488</v>
      </c>
      <c r="O14" s="745"/>
      <c r="P14" s="745"/>
      <c r="Q14" s="745"/>
      <c r="R14" s="745"/>
      <c r="S14" s="746"/>
      <c r="T14" s="9"/>
      <c r="U14" s="9"/>
      <c r="V14" s="9"/>
      <c r="W14" s="9"/>
      <c r="X14" s="9"/>
      <c r="Y14" s="9"/>
      <c r="Z14" s="9"/>
      <c r="AA14" s="9"/>
    </row>
    <row r="15" spans="1:27" ht="12" customHeight="1" x14ac:dyDescent="0.2">
      <c r="A15" s="799">
        <f t="shared" si="0"/>
        <v>7</v>
      </c>
      <c r="B15" s="745" t="s">
        <v>43</v>
      </c>
      <c r="C15" s="752"/>
      <c r="D15" s="800"/>
      <c r="E15" s="800"/>
      <c r="F15" s="800"/>
      <c r="G15" s="800"/>
      <c r="H15" s="800"/>
      <c r="I15" s="800"/>
      <c r="J15" s="800"/>
      <c r="K15" s="752" t="s">
        <v>31</v>
      </c>
      <c r="L15" s="744">
        <f>Össz.önkor.mérleg.!L28</f>
        <v>0</v>
      </c>
      <c r="M15" s="744">
        <f>Össz.önkor.mérleg.!M28</f>
        <v>0</v>
      </c>
      <c r="N15" s="744">
        <f>SUM(L15:M15)</f>
        <v>0</v>
      </c>
      <c r="O15" s="745"/>
      <c r="P15" s="745"/>
      <c r="Q15" s="745"/>
      <c r="R15" s="745"/>
      <c r="S15" s="746"/>
      <c r="T15" s="9"/>
      <c r="U15" s="9"/>
      <c r="V15" s="9"/>
      <c r="W15" s="9"/>
      <c r="X15" s="9"/>
      <c r="Y15" s="9"/>
      <c r="Z15" s="9"/>
      <c r="AA15" s="9"/>
    </row>
    <row r="16" spans="1:27" x14ac:dyDescent="0.2">
      <c r="A16" s="799">
        <f t="shared" si="0"/>
        <v>8</v>
      </c>
      <c r="B16" s="747" t="s">
        <v>44</v>
      </c>
      <c r="C16" s="801">
        <f>Össz.önkor.mérleg.!C24</f>
        <v>0</v>
      </c>
      <c r="D16" s="801">
        <f>Össz.önkor.mérleg.!D24</f>
        <v>19400</v>
      </c>
      <c r="E16" s="752">
        <f>Össz.önkor.mérleg.!E24</f>
        <v>19400</v>
      </c>
      <c r="F16" s="752"/>
      <c r="G16" s="752"/>
      <c r="H16" s="752"/>
      <c r="I16" s="752"/>
      <c r="J16" s="752"/>
      <c r="K16" s="752" t="s">
        <v>32</v>
      </c>
      <c r="L16" s="744">
        <f>Össz.önkor.mérleg.!L29</f>
        <v>0</v>
      </c>
      <c r="M16" s="744">
        <f>Össz.önkor.mérleg.!M29</f>
        <v>0</v>
      </c>
      <c r="N16" s="744">
        <f>SUM(L16:M16)</f>
        <v>0</v>
      </c>
      <c r="O16" s="745"/>
      <c r="P16" s="745"/>
      <c r="Q16" s="745"/>
      <c r="R16" s="745"/>
      <c r="S16" s="746"/>
      <c r="T16" s="9"/>
      <c r="U16" s="9"/>
      <c r="V16" s="9"/>
      <c r="W16" s="9"/>
      <c r="X16" s="9"/>
      <c r="Y16" s="9"/>
      <c r="Z16" s="9"/>
      <c r="AA16" s="9"/>
    </row>
    <row r="17" spans="1:27" x14ac:dyDescent="0.2">
      <c r="A17" s="799">
        <f t="shared" si="0"/>
        <v>9</v>
      </c>
      <c r="B17" s="747" t="s">
        <v>45</v>
      </c>
      <c r="C17" s="752">
        <f>Össz.önkor.mérleg.!C25</f>
        <v>0</v>
      </c>
      <c r="D17" s="752">
        <f>Össz.önkor.mérleg.!D25</f>
        <v>0</v>
      </c>
      <c r="E17" s="752">
        <f>Össz.önkor.mérleg.!E25</f>
        <v>0</v>
      </c>
      <c r="F17" s="752"/>
      <c r="G17" s="752"/>
      <c r="H17" s="752"/>
      <c r="I17" s="752"/>
      <c r="J17" s="752"/>
      <c r="K17" s="752" t="s">
        <v>448</v>
      </c>
      <c r="L17" s="744">
        <f>Össz.önkor.mérleg.!L30</f>
        <v>0</v>
      </c>
      <c r="M17" s="744">
        <f>Össz.önkor.mérleg.!M30</f>
        <v>0</v>
      </c>
      <c r="N17" s="744">
        <f>SUM(L17:M17)</f>
        <v>0</v>
      </c>
      <c r="O17" s="745"/>
      <c r="P17" s="745"/>
      <c r="Q17" s="745"/>
      <c r="R17" s="745"/>
      <c r="S17" s="746"/>
      <c r="T17" s="9"/>
      <c r="U17" s="9"/>
      <c r="V17" s="9"/>
      <c r="W17" s="9"/>
      <c r="X17" s="9"/>
      <c r="Y17" s="9"/>
      <c r="Z17" s="9"/>
      <c r="AA17" s="9"/>
    </row>
    <row r="18" spans="1:27" x14ac:dyDescent="0.2">
      <c r="A18" s="799">
        <f t="shared" si="0"/>
        <v>10</v>
      </c>
      <c r="B18" s="747"/>
      <c r="C18" s="752"/>
      <c r="D18" s="752"/>
      <c r="E18" s="752"/>
      <c r="F18" s="752"/>
      <c r="G18" s="752"/>
      <c r="H18" s="752"/>
      <c r="I18" s="752"/>
      <c r="J18" s="752"/>
      <c r="K18" s="752" t="s">
        <v>1156</v>
      </c>
      <c r="L18" s="744">
        <f>Össz.önkor.mérleg.!L31</f>
        <v>0</v>
      </c>
      <c r="M18" s="744">
        <f>Össz.önkor.mérleg.!M31</f>
        <v>5000</v>
      </c>
      <c r="N18" s="744">
        <f>Össz.önkor.mérleg.!N31</f>
        <v>5000</v>
      </c>
      <c r="O18" s="745"/>
      <c r="P18" s="745"/>
      <c r="Q18" s="745"/>
      <c r="R18" s="745"/>
      <c r="S18" s="746"/>
      <c r="T18" s="9"/>
      <c r="U18" s="9"/>
      <c r="V18" s="9"/>
      <c r="W18" s="9"/>
      <c r="X18" s="9"/>
      <c r="Y18" s="9"/>
      <c r="Z18" s="9"/>
      <c r="AA18" s="9"/>
    </row>
    <row r="19" spans="1:27" x14ac:dyDescent="0.2">
      <c r="A19" s="799">
        <f t="shared" si="0"/>
        <v>11</v>
      </c>
      <c r="B19" s="747" t="s">
        <v>46</v>
      </c>
      <c r="C19" s="752">
        <f>Össz.önkor.mérleg.!C21</f>
        <v>0</v>
      </c>
      <c r="D19" s="752">
        <f>Össz.önkor.mérleg.!D26</f>
        <v>180</v>
      </c>
      <c r="E19" s="752">
        <f>Össz.önkor.mérleg.!E26</f>
        <v>180</v>
      </c>
      <c r="F19" s="752"/>
      <c r="G19" s="752"/>
      <c r="H19" s="752"/>
      <c r="I19" s="752"/>
      <c r="J19" s="752"/>
      <c r="K19" s="752" t="s">
        <v>1157</v>
      </c>
      <c r="L19" s="744">
        <f>Össz.önkor.mérleg.!L32</f>
        <v>47741</v>
      </c>
      <c r="M19" s="744">
        <f>Össz.önkor.mérleg.!M32</f>
        <v>4350</v>
      </c>
      <c r="N19" s="744">
        <f>Össz.önkor.mérleg.!N32</f>
        <v>52091</v>
      </c>
      <c r="O19" s="745"/>
      <c r="P19" s="745"/>
      <c r="Q19" s="745"/>
      <c r="R19" s="745"/>
      <c r="S19" s="746"/>
      <c r="T19" s="9"/>
      <c r="U19" s="9"/>
      <c r="V19" s="9"/>
      <c r="W19" s="9"/>
      <c r="X19" s="9"/>
      <c r="Y19" s="9"/>
      <c r="Z19" s="9"/>
      <c r="AA19" s="9"/>
    </row>
    <row r="20" spans="1:27" x14ac:dyDescent="0.2">
      <c r="A20" s="799">
        <f t="shared" si="0"/>
        <v>12</v>
      </c>
      <c r="B20" s="747" t="s">
        <v>47</v>
      </c>
      <c r="C20" s="752">
        <f>Össz.önkor.mérleg.!C22</f>
        <v>0</v>
      </c>
      <c r="D20" s="752">
        <f>Össz.önkor.mérleg.!D22</f>
        <v>0</v>
      </c>
      <c r="E20" s="752">
        <f>Össz.önkor.mérleg.!E22</f>
        <v>0</v>
      </c>
      <c r="F20" s="752"/>
      <c r="G20" s="752"/>
      <c r="H20" s="752"/>
      <c r="I20" s="752"/>
      <c r="J20" s="752"/>
      <c r="K20" s="752" t="s">
        <v>1158</v>
      </c>
      <c r="L20" s="744">
        <f>Össz.önkor.mérleg.!L33</f>
        <v>27422</v>
      </c>
      <c r="M20" s="744">
        <f>Össz.önkor.mérleg.!M33</f>
        <v>81223</v>
      </c>
      <c r="N20" s="744">
        <f>Össz.önkor.mérleg.!N33</f>
        <v>108645</v>
      </c>
      <c r="O20" s="745"/>
      <c r="P20" s="745"/>
      <c r="Q20" s="745"/>
      <c r="R20" s="745"/>
      <c r="S20" s="746"/>
      <c r="T20" s="9"/>
      <c r="U20" s="9"/>
      <c r="V20" s="9"/>
      <c r="W20" s="9"/>
      <c r="X20" s="9"/>
      <c r="Y20" s="9"/>
      <c r="Z20" s="9"/>
      <c r="AA20" s="9"/>
    </row>
    <row r="21" spans="1:27" x14ac:dyDescent="0.2">
      <c r="A21" s="799">
        <f t="shared" si="0"/>
        <v>13</v>
      </c>
      <c r="B21" s="747"/>
      <c r="C21" s="752"/>
      <c r="D21" s="752"/>
      <c r="E21" s="752"/>
      <c r="F21" s="752"/>
      <c r="G21" s="752"/>
      <c r="H21" s="752"/>
      <c r="I21" s="752"/>
      <c r="J21" s="752"/>
      <c r="K21" s="801" t="s">
        <v>68</v>
      </c>
      <c r="L21" s="802">
        <f>SUM(L14:L20)</f>
        <v>999666</v>
      </c>
      <c r="M21" s="802">
        <f>SUM(M14:M20)</f>
        <v>309558</v>
      </c>
      <c r="N21" s="802">
        <f>SUM(N14:N20)</f>
        <v>1309224</v>
      </c>
      <c r="O21" s="745"/>
      <c r="P21" s="745"/>
      <c r="Q21" s="745"/>
      <c r="R21" s="745"/>
      <c r="S21" s="746"/>
      <c r="T21" s="9"/>
      <c r="U21" s="9"/>
      <c r="V21" s="9"/>
      <c r="W21" s="9"/>
      <c r="X21" s="9"/>
      <c r="Y21" s="9"/>
      <c r="Z21" s="9"/>
      <c r="AA21" s="9"/>
    </row>
    <row r="22" spans="1:27" x14ac:dyDescent="0.2">
      <c r="A22" s="799">
        <f t="shared" si="0"/>
        <v>14</v>
      </c>
      <c r="B22" s="745" t="s">
        <v>637</v>
      </c>
      <c r="C22" s="752">
        <f>Össz.önkor.mérleg.!C30</f>
        <v>0</v>
      </c>
      <c r="D22" s="752">
        <f>Össz.önkor.mérleg.!D30</f>
        <v>2870</v>
      </c>
      <c r="E22" s="752">
        <f>Össz.önkor.mérleg.!E30</f>
        <v>2870</v>
      </c>
      <c r="F22" s="752"/>
      <c r="G22" s="752"/>
      <c r="H22" s="752"/>
      <c r="I22" s="752"/>
      <c r="J22" s="752"/>
      <c r="K22" s="752"/>
      <c r="L22" s="744"/>
      <c r="M22" s="744"/>
      <c r="N22" s="800"/>
      <c r="O22" s="745"/>
      <c r="P22" s="745"/>
      <c r="Q22" s="745"/>
      <c r="R22" s="745"/>
      <c r="S22" s="746"/>
      <c r="T22" s="9"/>
      <c r="U22" s="9"/>
      <c r="V22" s="9"/>
      <c r="W22" s="9"/>
      <c r="X22" s="9"/>
      <c r="Y22" s="9"/>
      <c r="Z22" s="9"/>
      <c r="AA22" s="9"/>
    </row>
    <row r="23" spans="1:27" s="97" customFormat="1" x14ac:dyDescent="0.2">
      <c r="A23" s="799">
        <f t="shared" si="0"/>
        <v>15</v>
      </c>
      <c r="B23" s="745"/>
      <c r="C23" s="752"/>
      <c r="D23" s="752"/>
      <c r="E23" s="752"/>
      <c r="F23" s="752"/>
      <c r="G23" s="752"/>
      <c r="H23" s="752"/>
      <c r="I23" s="752"/>
      <c r="J23" s="752"/>
      <c r="K23" s="744"/>
      <c r="L23" s="744"/>
      <c r="M23" s="744"/>
      <c r="N23" s="744"/>
      <c r="O23" s="753"/>
      <c r="P23" s="753"/>
      <c r="Q23" s="753"/>
      <c r="R23" s="753"/>
      <c r="S23" s="754"/>
    </row>
    <row r="24" spans="1:27" s="97" customFormat="1" x14ac:dyDescent="0.2">
      <c r="A24" s="799">
        <f t="shared" si="0"/>
        <v>16</v>
      </c>
      <c r="B24" s="759"/>
      <c r="C24" s="800"/>
      <c r="D24" s="800"/>
      <c r="E24" s="800"/>
      <c r="F24" s="800"/>
      <c r="G24" s="800"/>
      <c r="H24" s="800"/>
      <c r="I24" s="800"/>
      <c r="J24" s="800"/>
      <c r="K24" s="744"/>
      <c r="L24" s="744"/>
      <c r="M24" s="744"/>
      <c r="N24" s="744"/>
      <c r="O24" s="753"/>
      <c r="P24" s="753"/>
      <c r="Q24" s="753"/>
      <c r="R24" s="753"/>
      <c r="S24" s="754"/>
    </row>
    <row r="25" spans="1:27" x14ac:dyDescent="0.2">
      <c r="A25" s="799">
        <f t="shared" si="0"/>
        <v>17</v>
      </c>
      <c r="B25" s="803" t="s">
        <v>67</v>
      </c>
      <c r="C25" s="804">
        <f>C12+C13+C16+C17+C19+C20+C22</f>
        <v>0</v>
      </c>
      <c r="D25" s="804">
        <f t="shared" ref="D25:E25" si="1">D12+D13+D16+D17+D19+D20+D22</f>
        <v>22450</v>
      </c>
      <c r="E25" s="804">
        <f t="shared" si="1"/>
        <v>22450</v>
      </c>
      <c r="F25" s="804"/>
      <c r="G25" s="804"/>
      <c r="H25" s="804"/>
      <c r="I25" s="804"/>
      <c r="J25" s="804"/>
      <c r="K25" s="804"/>
      <c r="L25" s="804"/>
      <c r="M25" s="804"/>
      <c r="N25" s="804"/>
      <c r="O25" s="745"/>
      <c r="P25" s="745"/>
      <c r="Q25" s="745"/>
      <c r="R25" s="745"/>
      <c r="S25" s="746"/>
      <c r="T25" s="9"/>
      <c r="U25" s="9"/>
      <c r="V25" s="9"/>
      <c r="W25" s="9"/>
      <c r="X25" s="9"/>
      <c r="Y25" s="9"/>
      <c r="Z25" s="9"/>
      <c r="AA25" s="9"/>
    </row>
    <row r="26" spans="1:27" x14ac:dyDescent="0.2">
      <c r="A26" s="799">
        <f t="shared" si="0"/>
        <v>18</v>
      </c>
      <c r="B26" s="760" t="s">
        <v>51</v>
      </c>
      <c r="C26" s="742">
        <f>SUM(C24:C25)</f>
        <v>0</v>
      </c>
      <c r="D26" s="742">
        <f>SUM(D24:D25)</f>
        <v>22450</v>
      </c>
      <c r="E26" s="742">
        <f>SUM(E24:E25)</f>
        <v>22450</v>
      </c>
      <c r="F26" s="742"/>
      <c r="G26" s="742"/>
      <c r="H26" s="742"/>
      <c r="I26" s="742"/>
      <c r="J26" s="742"/>
      <c r="K26" s="742" t="s">
        <v>69</v>
      </c>
      <c r="L26" s="742">
        <f>L25+L21</f>
        <v>999666</v>
      </c>
      <c r="M26" s="742">
        <f>M25+M21</f>
        <v>309558</v>
      </c>
      <c r="N26" s="742">
        <f>N25+N21</f>
        <v>1309224</v>
      </c>
      <c r="O26" s="745"/>
      <c r="P26" s="745"/>
      <c r="Q26" s="745"/>
      <c r="R26" s="745"/>
      <c r="S26" s="746"/>
      <c r="T26" s="9"/>
      <c r="U26" s="9"/>
      <c r="V26" s="9"/>
      <c r="W26" s="9"/>
      <c r="X26" s="9"/>
      <c r="Y26" s="9"/>
      <c r="Z26" s="9"/>
      <c r="AA26" s="9"/>
    </row>
    <row r="27" spans="1:27" x14ac:dyDescent="0.2">
      <c r="A27" s="799">
        <f t="shared" si="0"/>
        <v>19</v>
      </c>
      <c r="B27" s="745"/>
      <c r="C27" s="744"/>
      <c r="D27" s="744"/>
      <c r="E27" s="744"/>
      <c r="F27" s="744"/>
      <c r="G27" s="744"/>
      <c r="H27" s="744"/>
      <c r="I27" s="744"/>
      <c r="J27" s="744"/>
      <c r="K27" s="744"/>
      <c r="L27" s="744"/>
      <c r="M27" s="744"/>
      <c r="N27" s="744"/>
      <c r="O27" s="745"/>
      <c r="P27" s="745"/>
      <c r="Q27" s="745"/>
      <c r="R27" s="745"/>
      <c r="S27" s="746"/>
      <c r="T27" s="9"/>
      <c r="U27" s="9"/>
      <c r="V27" s="9"/>
      <c r="W27" s="9"/>
      <c r="X27" s="9"/>
      <c r="Y27" s="9"/>
      <c r="Z27" s="9"/>
      <c r="AA27" s="9"/>
    </row>
    <row r="28" spans="1:27" x14ac:dyDescent="0.2">
      <c r="A28" s="799">
        <f t="shared" si="0"/>
        <v>20</v>
      </c>
      <c r="B28" s="760" t="s">
        <v>638</v>
      </c>
      <c r="C28" s="742">
        <f>C26-L26</f>
        <v>-999666</v>
      </c>
      <c r="D28" s="742">
        <f>D26-M26</f>
        <v>-287108</v>
      </c>
      <c r="E28" s="805">
        <f>E26-N26</f>
        <v>-1286774</v>
      </c>
      <c r="F28" s="805"/>
      <c r="G28" s="805"/>
      <c r="H28" s="805"/>
      <c r="I28" s="805"/>
      <c r="J28" s="805"/>
      <c r="K28" s="744"/>
      <c r="L28" s="744"/>
      <c r="M28" s="744"/>
      <c r="N28" s="744"/>
      <c r="O28" s="745"/>
      <c r="P28" s="745"/>
      <c r="Q28" s="745"/>
      <c r="R28" s="745"/>
      <c r="S28" s="746"/>
      <c r="T28" s="9"/>
      <c r="U28" s="9"/>
      <c r="V28" s="9"/>
      <c r="W28" s="9"/>
      <c r="X28" s="9"/>
      <c r="Y28" s="9"/>
      <c r="Z28" s="9"/>
      <c r="AA28" s="9"/>
    </row>
    <row r="29" spans="1:27" ht="16.5" customHeight="1" x14ac:dyDescent="0.2">
      <c r="A29" s="799">
        <f t="shared" si="0"/>
        <v>21</v>
      </c>
      <c r="B29" s="789" t="s">
        <v>1321</v>
      </c>
      <c r="C29" s="751">
        <f>-'működ. mérleg '!C27</f>
        <v>28632</v>
      </c>
      <c r="D29" s="751">
        <f>-'működ. mérleg '!D27</f>
        <v>0</v>
      </c>
      <c r="E29" s="751">
        <f>-'működ. mérleg '!E27</f>
        <v>28632</v>
      </c>
      <c r="F29" s="751"/>
      <c r="G29" s="751"/>
      <c r="H29" s="751"/>
      <c r="I29" s="751"/>
      <c r="J29" s="751"/>
      <c r="K29" s="744"/>
      <c r="L29" s="744"/>
      <c r="M29" s="744"/>
      <c r="N29" s="744"/>
      <c r="O29" s="745"/>
      <c r="P29" s="745"/>
      <c r="Q29" s="745"/>
      <c r="R29" s="745"/>
      <c r="S29" s="746"/>
      <c r="T29" s="9"/>
      <c r="U29" s="9"/>
      <c r="V29" s="9"/>
      <c r="W29" s="9"/>
      <c r="X29" s="9"/>
      <c r="Y29" s="9"/>
      <c r="Z29" s="9"/>
      <c r="AA29" s="9"/>
    </row>
    <row r="30" spans="1:27" s="10" customFormat="1" x14ac:dyDescent="0.2">
      <c r="A30" s="799">
        <f t="shared" si="0"/>
        <v>22</v>
      </c>
      <c r="B30" s="806"/>
      <c r="C30" s="744"/>
      <c r="D30" s="744"/>
      <c r="E30" s="744">
        <f>C30+D30</f>
        <v>0</v>
      </c>
      <c r="F30" s="744"/>
      <c r="G30" s="744"/>
      <c r="H30" s="744"/>
      <c r="I30" s="744"/>
      <c r="J30" s="744"/>
      <c r="K30" s="744"/>
      <c r="L30" s="744"/>
      <c r="M30" s="744"/>
      <c r="N30" s="744"/>
      <c r="O30" s="760"/>
      <c r="P30" s="760"/>
      <c r="Q30" s="760"/>
      <c r="R30" s="760"/>
      <c r="S30" s="761"/>
    </row>
    <row r="31" spans="1:27" s="10" customFormat="1" x14ac:dyDescent="0.2">
      <c r="A31" s="799">
        <f t="shared" si="0"/>
        <v>23</v>
      </c>
      <c r="B31" s="743" t="s">
        <v>53</v>
      </c>
      <c r="C31" s="743"/>
      <c r="D31" s="743"/>
      <c r="E31" s="743"/>
      <c r="F31" s="743"/>
      <c r="G31" s="743"/>
      <c r="H31" s="743"/>
      <c r="I31" s="743"/>
      <c r="J31" s="743"/>
      <c r="K31" s="743" t="s">
        <v>33</v>
      </c>
      <c r="L31" s="742"/>
      <c r="M31" s="742"/>
      <c r="N31" s="742"/>
      <c r="O31" s="760"/>
      <c r="P31" s="760"/>
      <c r="Q31" s="760"/>
      <c r="R31" s="760"/>
      <c r="S31" s="761"/>
    </row>
    <row r="32" spans="1:27" s="10" customFormat="1" x14ac:dyDescent="0.2">
      <c r="A32" s="799">
        <f t="shared" si="0"/>
        <v>24</v>
      </c>
      <c r="B32" s="763" t="s">
        <v>685</v>
      </c>
      <c r="C32" s="743"/>
      <c r="D32" s="743"/>
      <c r="E32" s="743"/>
      <c r="F32" s="743"/>
      <c r="G32" s="743"/>
      <c r="H32" s="743"/>
      <c r="I32" s="743"/>
      <c r="J32" s="743"/>
      <c r="K32" s="763" t="s">
        <v>4</v>
      </c>
      <c r="L32" s="742"/>
      <c r="M32" s="760"/>
      <c r="N32" s="760"/>
      <c r="O32" s="760"/>
      <c r="P32" s="760"/>
      <c r="Q32" s="760"/>
      <c r="R32" s="760"/>
      <c r="S32" s="761"/>
    </row>
    <row r="33" spans="1:27" s="10" customFormat="1" x14ac:dyDescent="0.2">
      <c r="A33" s="799">
        <f t="shared" si="0"/>
        <v>25</v>
      </c>
      <c r="B33" s="745" t="s">
        <v>1016</v>
      </c>
      <c r="C33" s="752">
        <f>Össz.önkor.mérleg.!C41</f>
        <v>634227</v>
      </c>
      <c r="D33" s="752">
        <f>Össz.önkor.mérleg.!D41</f>
        <v>0</v>
      </c>
      <c r="E33" s="752">
        <f>Össz.önkor.mérleg.!E41</f>
        <v>634227</v>
      </c>
      <c r="F33" s="752"/>
      <c r="G33" s="752"/>
      <c r="H33" s="752"/>
      <c r="I33" s="752"/>
      <c r="J33" s="752"/>
      <c r="K33" s="745" t="s">
        <v>3</v>
      </c>
      <c r="L33" s="742"/>
      <c r="M33" s="742"/>
      <c r="N33" s="742"/>
      <c r="O33" s="760"/>
      <c r="P33" s="760"/>
      <c r="Q33" s="760"/>
      <c r="R33" s="760"/>
      <c r="S33" s="761"/>
    </row>
    <row r="34" spans="1:27" x14ac:dyDescent="0.2">
      <c r="A34" s="799">
        <f t="shared" si="0"/>
        <v>26</v>
      </c>
      <c r="B34" s="752" t="s">
        <v>687</v>
      </c>
      <c r="C34" s="807"/>
      <c r="D34" s="763"/>
      <c r="E34" s="763">
        <f>SUM(C34:D34)</f>
        <v>0</v>
      </c>
      <c r="F34" s="763"/>
      <c r="G34" s="763"/>
      <c r="H34" s="763"/>
      <c r="I34" s="763"/>
      <c r="J34" s="763"/>
      <c r="K34" s="752" t="s">
        <v>5</v>
      </c>
      <c r="L34" s="742"/>
      <c r="M34" s="742"/>
      <c r="N34" s="742"/>
      <c r="O34" s="745"/>
      <c r="P34" s="745"/>
      <c r="Q34" s="745"/>
      <c r="R34" s="745"/>
      <c r="S34" s="746"/>
      <c r="T34" s="9"/>
      <c r="U34" s="9"/>
      <c r="V34" s="9"/>
      <c r="W34" s="9"/>
      <c r="X34" s="9"/>
      <c r="Y34" s="9"/>
      <c r="Z34" s="9"/>
      <c r="AA34" s="9"/>
    </row>
    <row r="35" spans="1:27" x14ac:dyDescent="0.2">
      <c r="A35" s="799">
        <f t="shared" si="0"/>
        <v>27</v>
      </c>
      <c r="B35" s="752" t="s">
        <v>686</v>
      </c>
      <c r="C35" s="752"/>
      <c r="D35" s="752"/>
      <c r="E35" s="752"/>
      <c r="F35" s="752"/>
      <c r="G35" s="752"/>
      <c r="H35" s="752"/>
      <c r="I35" s="752"/>
      <c r="J35" s="752"/>
      <c r="K35" s="752" t="s">
        <v>6</v>
      </c>
      <c r="L35" s="742"/>
      <c r="M35" s="742"/>
      <c r="N35" s="742"/>
      <c r="O35" s="745"/>
      <c r="P35" s="745"/>
      <c r="Q35" s="745"/>
      <c r="R35" s="745"/>
      <c r="S35" s="746"/>
      <c r="T35" s="9"/>
      <c r="U35" s="9"/>
      <c r="V35" s="9"/>
      <c r="W35" s="9"/>
      <c r="X35" s="9"/>
      <c r="Y35" s="9"/>
      <c r="Z35" s="9"/>
      <c r="AA35" s="9"/>
    </row>
    <row r="36" spans="1:27" x14ac:dyDescent="0.2">
      <c r="A36" s="799">
        <f t="shared" si="0"/>
        <v>28</v>
      </c>
      <c r="B36" s="752" t="s">
        <v>1060</v>
      </c>
      <c r="C36" s="748">
        <f>-(C28+C33)-C30-C29</f>
        <v>336807</v>
      </c>
      <c r="D36" s="748">
        <f t="shared" ref="D36:E36" si="2">-(D28+D33)-D30-D29</f>
        <v>287108</v>
      </c>
      <c r="E36" s="748">
        <f t="shared" si="2"/>
        <v>623915</v>
      </c>
      <c r="F36" s="748"/>
      <c r="G36" s="748"/>
      <c r="H36" s="748"/>
      <c r="I36" s="748"/>
      <c r="J36" s="748"/>
      <c r="K36" s="752" t="s">
        <v>7</v>
      </c>
      <c r="L36" s="742"/>
      <c r="M36" s="742"/>
      <c r="N36" s="742"/>
      <c r="O36" s="745"/>
      <c r="P36" s="745"/>
      <c r="Q36" s="745"/>
      <c r="R36" s="745"/>
      <c r="S36" s="746"/>
      <c r="T36" s="9"/>
      <c r="U36" s="9"/>
      <c r="V36" s="9"/>
      <c r="W36" s="9"/>
      <c r="X36" s="9"/>
      <c r="Y36" s="9"/>
      <c r="Z36" s="9"/>
      <c r="AA36" s="9"/>
    </row>
    <row r="37" spans="1:27" x14ac:dyDescent="0.2">
      <c r="A37" s="799">
        <f t="shared" si="0"/>
        <v>29</v>
      </c>
      <c r="B37" s="752" t="s">
        <v>688</v>
      </c>
      <c r="C37" s="743"/>
      <c r="D37" s="743"/>
      <c r="E37" s="743"/>
      <c r="F37" s="743"/>
      <c r="G37" s="743"/>
      <c r="H37" s="743"/>
      <c r="I37" s="743"/>
      <c r="J37" s="743"/>
      <c r="K37" s="752" t="s">
        <v>9</v>
      </c>
      <c r="L37" s="742"/>
      <c r="M37" s="742"/>
      <c r="N37" s="744"/>
      <c r="O37" s="745"/>
      <c r="P37" s="745"/>
      <c r="Q37" s="745"/>
      <c r="R37" s="745"/>
      <c r="S37" s="746"/>
      <c r="T37" s="9"/>
      <c r="U37" s="9"/>
      <c r="V37" s="9"/>
      <c r="W37" s="9"/>
      <c r="X37" s="9"/>
      <c r="Y37" s="9"/>
      <c r="Z37" s="9"/>
      <c r="AA37" s="9"/>
    </row>
    <row r="38" spans="1:27" x14ac:dyDescent="0.2">
      <c r="A38" s="799">
        <f t="shared" si="0"/>
        <v>30</v>
      </c>
      <c r="B38" s="752" t="s">
        <v>689</v>
      </c>
      <c r="C38" s="752"/>
      <c r="D38" s="752"/>
      <c r="E38" s="752"/>
      <c r="F38" s="752"/>
      <c r="G38" s="752"/>
      <c r="H38" s="752"/>
      <c r="I38" s="752"/>
      <c r="J38" s="752"/>
      <c r="K38" s="752" t="s">
        <v>10</v>
      </c>
      <c r="L38" s="744"/>
      <c r="M38" s="744"/>
      <c r="N38" s="744"/>
      <c r="O38" s="745"/>
      <c r="P38" s="745"/>
      <c r="Q38" s="745"/>
      <c r="R38" s="745"/>
      <c r="S38" s="746"/>
      <c r="T38" s="9"/>
      <c r="U38" s="9"/>
      <c r="V38" s="9"/>
      <c r="W38" s="9"/>
      <c r="X38" s="9"/>
      <c r="Y38" s="9"/>
      <c r="Z38" s="9"/>
      <c r="AA38" s="9"/>
    </row>
    <row r="39" spans="1:27" x14ac:dyDescent="0.2">
      <c r="A39" s="799">
        <f t="shared" si="0"/>
        <v>31</v>
      </c>
      <c r="B39" s="752" t="s">
        <v>690</v>
      </c>
      <c r="C39" s="752"/>
      <c r="D39" s="752"/>
      <c r="E39" s="752"/>
      <c r="F39" s="752"/>
      <c r="G39" s="752"/>
      <c r="H39" s="752"/>
      <c r="I39" s="752"/>
      <c r="J39" s="752"/>
      <c r="K39" s="752" t="s">
        <v>11</v>
      </c>
      <c r="L39" s="744"/>
      <c r="M39" s="744"/>
      <c r="N39" s="744"/>
      <c r="O39" s="745"/>
      <c r="P39" s="745"/>
      <c r="Q39" s="745"/>
      <c r="R39" s="745"/>
      <c r="S39" s="746"/>
      <c r="T39" s="9"/>
      <c r="U39" s="9"/>
      <c r="V39" s="9"/>
      <c r="W39" s="9"/>
      <c r="X39" s="9"/>
      <c r="Y39" s="9"/>
      <c r="Z39" s="9"/>
      <c r="AA39" s="9"/>
    </row>
    <row r="40" spans="1:27" x14ac:dyDescent="0.2">
      <c r="A40" s="799">
        <f t="shared" si="0"/>
        <v>32</v>
      </c>
      <c r="B40" s="752" t="s">
        <v>691</v>
      </c>
      <c r="C40" s="752"/>
      <c r="D40" s="752"/>
      <c r="E40" s="752"/>
      <c r="F40" s="752"/>
      <c r="G40" s="752"/>
      <c r="H40" s="752"/>
      <c r="I40" s="752"/>
      <c r="J40" s="752"/>
      <c r="K40" s="752" t="s">
        <v>12</v>
      </c>
      <c r="L40" s="744"/>
      <c r="M40" s="744"/>
      <c r="N40" s="744"/>
      <c r="O40" s="745"/>
      <c r="P40" s="745"/>
      <c r="Q40" s="745"/>
      <c r="R40" s="745"/>
      <c r="S40" s="746"/>
      <c r="T40" s="9"/>
      <c r="U40" s="9"/>
      <c r="V40" s="9"/>
      <c r="W40" s="9"/>
      <c r="X40" s="9"/>
      <c r="Y40" s="9"/>
      <c r="Z40" s="9"/>
      <c r="AA40" s="9"/>
    </row>
    <row r="41" spans="1:27" x14ac:dyDescent="0.2">
      <c r="A41" s="799">
        <f t="shared" si="0"/>
        <v>33</v>
      </c>
      <c r="B41" s="752" t="s">
        <v>0</v>
      </c>
      <c r="C41" s="752"/>
      <c r="D41" s="752"/>
      <c r="E41" s="752"/>
      <c r="F41" s="752"/>
      <c r="G41" s="752"/>
      <c r="H41" s="752"/>
      <c r="I41" s="752"/>
      <c r="J41" s="752"/>
      <c r="K41" s="752" t="s">
        <v>13</v>
      </c>
      <c r="L41" s="744"/>
      <c r="M41" s="744"/>
      <c r="N41" s="744"/>
      <c r="O41" s="745"/>
      <c r="P41" s="745"/>
      <c r="Q41" s="745"/>
      <c r="R41" s="745"/>
      <c r="S41" s="746"/>
      <c r="T41" s="9"/>
      <c r="U41" s="9"/>
      <c r="V41" s="9"/>
      <c r="W41" s="9"/>
      <c r="X41" s="9"/>
      <c r="Y41" s="9"/>
      <c r="Z41" s="9"/>
      <c r="AA41" s="9"/>
    </row>
    <row r="42" spans="1:27" x14ac:dyDescent="0.2">
      <c r="A42" s="799">
        <f t="shared" si="0"/>
        <v>34</v>
      </c>
      <c r="B42" s="752" t="s">
        <v>1</v>
      </c>
      <c r="C42" s="752"/>
      <c r="D42" s="752"/>
      <c r="E42" s="752"/>
      <c r="F42" s="752"/>
      <c r="G42" s="752"/>
      <c r="H42" s="752"/>
      <c r="I42" s="752"/>
      <c r="J42" s="752"/>
      <c r="K42" s="752" t="s">
        <v>14</v>
      </c>
      <c r="L42" s="744"/>
      <c r="M42" s="744"/>
      <c r="N42" s="744"/>
      <c r="O42" s="745"/>
      <c r="P42" s="745"/>
      <c r="Q42" s="745"/>
      <c r="R42" s="745"/>
      <c r="S42" s="746"/>
      <c r="T42" s="9"/>
      <c r="U42" s="9"/>
      <c r="V42" s="9"/>
      <c r="W42" s="9"/>
      <c r="X42" s="9"/>
      <c r="Y42" s="9"/>
      <c r="Z42" s="9"/>
      <c r="AA42" s="9"/>
    </row>
    <row r="43" spans="1:27" x14ac:dyDescent="0.2">
      <c r="A43" s="799">
        <f t="shared" si="0"/>
        <v>35</v>
      </c>
      <c r="B43" s="752" t="s">
        <v>2</v>
      </c>
      <c r="C43" s="752"/>
      <c r="D43" s="752"/>
      <c r="E43" s="752"/>
      <c r="F43" s="752"/>
      <c r="G43" s="752"/>
      <c r="H43" s="752"/>
      <c r="I43" s="752"/>
      <c r="J43" s="752"/>
      <c r="K43" s="752" t="s">
        <v>15</v>
      </c>
      <c r="L43" s="744"/>
      <c r="M43" s="744"/>
      <c r="N43" s="744"/>
      <c r="O43" s="745"/>
      <c r="P43" s="745"/>
      <c r="Q43" s="745"/>
      <c r="R43" s="745"/>
      <c r="S43" s="746"/>
      <c r="T43" s="9"/>
      <c r="U43" s="9"/>
      <c r="V43" s="9"/>
      <c r="W43" s="9"/>
      <c r="X43" s="9"/>
      <c r="Y43" s="9"/>
      <c r="Z43" s="9"/>
      <c r="AA43" s="9"/>
    </row>
    <row r="44" spans="1:27" ht="12" thickBot="1" x14ac:dyDescent="0.25">
      <c r="A44" s="808">
        <f t="shared" si="0"/>
        <v>36</v>
      </c>
      <c r="B44" s="767" t="s">
        <v>449</v>
      </c>
      <c r="C44" s="809">
        <f t="shared" ref="C44:D44" si="3">SUM(C31:C42)</f>
        <v>971034</v>
      </c>
      <c r="D44" s="809">
        <f t="shared" si="3"/>
        <v>287108</v>
      </c>
      <c r="E44" s="809">
        <f>SUM(E31:E42)</f>
        <v>1258142</v>
      </c>
      <c r="F44" s="809"/>
      <c r="G44" s="809"/>
      <c r="H44" s="809"/>
      <c r="I44" s="809"/>
      <c r="J44" s="809"/>
      <c r="K44" s="809" t="s">
        <v>442</v>
      </c>
      <c r="L44" s="810">
        <f>SUM(L32:L43)</f>
        <v>0</v>
      </c>
      <c r="M44" s="810">
        <f>SUM(M32:M43)</f>
        <v>0</v>
      </c>
      <c r="N44" s="810">
        <f>SUM(N32:N43)</f>
        <v>0</v>
      </c>
      <c r="O44" s="770"/>
      <c r="P44" s="770"/>
      <c r="Q44" s="770"/>
      <c r="R44" s="770"/>
      <c r="S44" s="771"/>
      <c r="T44" s="9"/>
      <c r="U44" s="9"/>
      <c r="V44" s="9"/>
      <c r="W44" s="9"/>
      <c r="X44" s="9"/>
      <c r="Y44" s="9"/>
      <c r="Z44" s="9"/>
      <c r="AA44" s="9"/>
    </row>
    <row r="45" spans="1:27" ht="12" thickBot="1" x14ac:dyDescent="0.25">
      <c r="A45" s="684">
        <f t="shared" si="0"/>
        <v>37</v>
      </c>
      <c r="B45" s="683" t="s">
        <v>444</v>
      </c>
      <c r="C45" s="675">
        <f t="shared" ref="C45:D45" si="4">C26+C29+C44</f>
        <v>999666</v>
      </c>
      <c r="D45" s="675">
        <f t="shared" si="4"/>
        <v>309558</v>
      </c>
      <c r="E45" s="675">
        <f>E26+E29+E44</f>
        <v>1309224</v>
      </c>
      <c r="F45" s="675"/>
      <c r="G45" s="675"/>
      <c r="H45" s="675"/>
      <c r="I45" s="675"/>
      <c r="J45" s="675"/>
      <c r="K45" s="683" t="s">
        <v>443</v>
      </c>
      <c r="L45" s="675">
        <f>L26+L44</f>
        <v>999666</v>
      </c>
      <c r="M45" s="675">
        <f>M26+M44</f>
        <v>309558</v>
      </c>
      <c r="N45" s="811">
        <f>N26+N44</f>
        <v>1309224</v>
      </c>
      <c r="O45" s="773"/>
      <c r="P45" s="773"/>
      <c r="Q45" s="773"/>
      <c r="R45" s="773"/>
      <c r="S45" s="774"/>
      <c r="T45" s="9"/>
      <c r="U45" s="9"/>
      <c r="V45" s="9"/>
      <c r="W45" s="9"/>
      <c r="X45" s="9"/>
      <c r="Y45" s="9"/>
      <c r="Z45" s="9"/>
      <c r="AA45" s="9"/>
    </row>
    <row r="46" spans="1:27" x14ac:dyDescent="0.2">
      <c r="B46" s="125"/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S46" s="9"/>
      <c r="T46" s="9"/>
      <c r="U46" s="9"/>
      <c r="V46" s="9"/>
      <c r="W46" s="9"/>
      <c r="X46" s="9"/>
      <c r="Y46" s="9"/>
      <c r="Z46" s="9"/>
      <c r="AA46" s="9"/>
    </row>
    <row r="47" spans="1:27" x14ac:dyDescent="0.2">
      <c r="Y47" s="9"/>
      <c r="Z47" s="9"/>
      <c r="AA47" s="9"/>
    </row>
    <row r="50" spans="4:4" x14ac:dyDescent="0.2">
      <c r="D50" s="119"/>
    </row>
  </sheetData>
  <sheetProtection selectLockedCells="1" selectUnlockedCells="1"/>
  <mergeCells count="14">
    <mergeCell ref="O7:P7"/>
    <mergeCell ref="Q7:S7"/>
    <mergeCell ref="L6:S6"/>
    <mergeCell ref="A1:N1"/>
    <mergeCell ref="C7:E7"/>
    <mergeCell ref="L7:N7"/>
    <mergeCell ref="B3:N3"/>
    <mergeCell ref="A5:N5"/>
    <mergeCell ref="B4:N4"/>
    <mergeCell ref="A6:A8"/>
    <mergeCell ref="B6:B7"/>
    <mergeCell ref="F7:G7"/>
    <mergeCell ref="H7:J7"/>
    <mergeCell ref="C6:J6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78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75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683" t="s">
        <v>1282</v>
      </c>
      <c r="B1" s="1683"/>
      <c r="C1" s="1683"/>
      <c r="D1" s="1683"/>
      <c r="E1" s="1683"/>
      <c r="F1" s="1683"/>
      <c r="G1" s="1683"/>
      <c r="H1" s="1683"/>
    </row>
    <row r="2" spans="1:8" x14ac:dyDescent="0.2">
      <c r="A2" s="566"/>
      <c r="B2" s="566"/>
      <c r="C2" s="566"/>
      <c r="D2" s="567"/>
      <c r="E2" s="566"/>
      <c r="F2" s="566"/>
      <c r="G2" s="566"/>
      <c r="H2" s="566"/>
    </row>
    <row r="3" spans="1:8" x14ac:dyDescent="0.2">
      <c r="A3" s="1687" t="s">
        <v>77</v>
      </c>
      <c r="B3" s="1687"/>
      <c r="C3" s="1687"/>
      <c r="D3" s="1687"/>
      <c r="E3" s="1687"/>
      <c r="F3" s="1687"/>
      <c r="G3" s="1687"/>
      <c r="H3" s="1687"/>
    </row>
    <row r="4" spans="1:8" ht="14.25" x14ac:dyDescent="0.2">
      <c r="A4" s="1675" t="s">
        <v>317</v>
      </c>
      <c r="B4" s="1675"/>
      <c r="C4" s="1675"/>
      <c r="D4" s="1675"/>
      <c r="E4" s="1675"/>
      <c r="F4" s="1675"/>
      <c r="G4" s="1675"/>
      <c r="H4" s="1675"/>
    </row>
    <row r="5" spans="1:8" ht="14.25" x14ac:dyDescent="0.2">
      <c r="A5" s="1675" t="s">
        <v>1078</v>
      </c>
      <c r="B5" s="1675"/>
      <c r="C5" s="1675"/>
      <c r="D5" s="1675"/>
      <c r="E5" s="1675"/>
      <c r="F5" s="1675"/>
      <c r="G5" s="1675"/>
      <c r="H5" s="1675"/>
    </row>
    <row r="6" spans="1:8" ht="14.25" x14ac:dyDescent="0.2">
      <c r="A6" s="1676" t="s">
        <v>55</v>
      </c>
      <c r="B6" s="1676"/>
      <c r="C6" s="1676"/>
      <c r="D6" s="1676"/>
      <c r="E6" s="1676"/>
      <c r="F6" s="1676"/>
      <c r="G6" s="1676"/>
      <c r="H6" s="1676"/>
    </row>
    <row r="7" spans="1:8" ht="15" x14ac:dyDescent="0.25">
      <c r="A7" s="624"/>
      <c r="B7" s="625"/>
      <c r="C7" s="625"/>
      <c r="D7" s="625"/>
      <c r="E7" s="625"/>
      <c r="F7" s="566"/>
      <c r="G7" s="566"/>
      <c r="H7" s="566"/>
    </row>
    <row r="8" spans="1:8" ht="14.25" customHeight="1" x14ac:dyDescent="0.2">
      <c r="A8" s="1684"/>
      <c r="B8" s="626" t="s">
        <v>57</v>
      </c>
      <c r="C8" s="626" t="s">
        <v>58</v>
      </c>
      <c r="D8" s="626" t="s">
        <v>59</v>
      </c>
      <c r="E8" s="626" t="s">
        <v>60</v>
      </c>
      <c r="F8" s="627" t="s">
        <v>471</v>
      </c>
      <c r="G8" s="627" t="s">
        <v>472</v>
      </c>
      <c r="H8" s="627" t="s">
        <v>473</v>
      </c>
    </row>
    <row r="9" spans="1:8" ht="14.25" customHeight="1" x14ac:dyDescent="0.2">
      <c r="A9" s="1684"/>
      <c r="B9" s="1685" t="s">
        <v>319</v>
      </c>
      <c r="C9" s="1686" t="s">
        <v>320</v>
      </c>
      <c r="D9" s="1686" t="s">
        <v>321</v>
      </c>
      <c r="E9" s="628"/>
      <c r="F9" s="629"/>
      <c r="G9" s="630"/>
      <c r="H9" s="630"/>
    </row>
    <row r="10" spans="1:8" ht="14.25" customHeight="1" x14ac:dyDescent="0.2">
      <c r="A10" s="1684"/>
      <c r="B10" s="1685"/>
      <c r="C10" s="1686"/>
      <c r="D10" s="1686"/>
      <c r="E10" s="631" t="s">
        <v>938</v>
      </c>
      <c r="F10" s="632" t="s">
        <v>1275</v>
      </c>
      <c r="G10" s="633" t="s">
        <v>1079</v>
      </c>
      <c r="H10" s="633" t="s">
        <v>1272</v>
      </c>
    </row>
    <row r="11" spans="1:8" ht="15" x14ac:dyDescent="0.25">
      <c r="A11" s="285"/>
      <c r="B11" s="321" t="s">
        <v>327</v>
      </c>
      <c r="C11" s="322"/>
      <c r="D11" s="322"/>
      <c r="E11" s="566"/>
      <c r="F11" s="566"/>
      <c r="G11" s="566"/>
      <c r="H11" s="566"/>
    </row>
    <row r="12" spans="1:8" ht="15" x14ac:dyDescent="0.25">
      <c r="A12" s="634">
        <v>1</v>
      </c>
      <c r="B12" s="635" t="s">
        <v>331</v>
      </c>
      <c r="C12" s="636" t="s">
        <v>330</v>
      </c>
      <c r="D12" s="637" t="s">
        <v>333</v>
      </c>
      <c r="E12" s="638">
        <v>300</v>
      </c>
      <c r="F12" s="638">
        <v>300</v>
      </c>
      <c r="G12" s="638">
        <v>300</v>
      </c>
      <c r="H12" s="638">
        <v>300</v>
      </c>
    </row>
    <row r="13" spans="1:8" ht="15" x14ac:dyDescent="0.25">
      <c r="A13" s="634">
        <v>2</v>
      </c>
      <c r="B13" s="639" t="s">
        <v>334</v>
      </c>
      <c r="C13" s="640" t="s">
        <v>335</v>
      </c>
      <c r="D13" s="637" t="s">
        <v>333</v>
      </c>
      <c r="E13" s="641">
        <v>100</v>
      </c>
      <c r="F13" s="641">
        <v>100</v>
      </c>
      <c r="G13" s="641">
        <v>100</v>
      </c>
      <c r="H13" s="641">
        <v>100</v>
      </c>
    </row>
    <row r="14" spans="1:8" ht="15" x14ac:dyDescent="0.25">
      <c r="A14" s="634">
        <v>3</v>
      </c>
      <c r="B14" s="639" t="s">
        <v>338</v>
      </c>
      <c r="C14" s="640" t="s">
        <v>718</v>
      </c>
      <c r="D14" s="637" t="s">
        <v>333</v>
      </c>
      <c r="E14" s="641">
        <v>24241</v>
      </c>
      <c r="F14" s="641">
        <v>24241</v>
      </c>
      <c r="G14" s="641">
        <v>24241</v>
      </c>
      <c r="H14" s="641">
        <v>24241</v>
      </c>
    </row>
    <row r="15" spans="1:8" ht="15" x14ac:dyDescent="0.25">
      <c r="A15" s="634">
        <v>4</v>
      </c>
      <c r="B15" s="639" t="s">
        <v>338</v>
      </c>
      <c r="C15" s="640" t="s">
        <v>719</v>
      </c>
      <c r="D15" s="637" t="s">
        <v>333</v>
      </c>
      <c r="E15" s="641">
        <v>27321</v>
      </c>
      <c r="F15" s="641">
        <v>27321</v>
      </c>
      <c r="G15" s="641">
        <v>27321</v>
      </c>
      <c r="H15" s="641">
        <v>27321</v>
      </c>
    </row>
    <row r="16" spans="1:8" ht="15" x14ac:dyDescent="0.25">
      <c r="A16" s="634">
        <v>5</v>
      </c>
      <c r="B16" s="639" t="s">
        <v>346</v>
      </c>
      <c r="C16" s="640" t="s">
        <v>347</v>
      </c>
      <c r="D16" s="637" t="s">
        <v>333</v>
      </c>
      <c r="E16" s="641">
        <v>10</v>
      </c>
      <c r="F16" s="641">
        <v>10</v>
      </c>
      <c r="G16" s="641">
        <v>10</v>
      </c>
      <c r="H16" s="641">
        <v>10</v>
      </c>
    </row>
    <row r="17" spans="1:19" ht="15" x14ac:dyDescent="0.25">
      <c r="A17" s="634">
        <v>6</v>
      </c>
      <c r="B17" s="639" t="s">
        <v>720</v>
      </c>
      <c r="C17" s="640" t="s">
        <v>721</v>
      </c>
      <c r="D17" s="642" t="s">
        <v>333</v>
      </c>
      <c r="E17" s="641">
        <v>62</v>
      </c>
      <c r="F17" s="641">
        <v>62</v>
      </c>
      <c r="G17" s="641">
        <v>62</v>
      </c>
      <c r="H17" s="641">
        <v>62</v>
      </c>
    </row>
    <row r="18" spans="1:19" ht="15" x14ac:dyDescent="0.25">
      <c r="A18" s="634">
        <v>7</v>
      </c>
      <c r="B18" s="639" t="s">
        <v>722</v>
      </c>
      <c r="C18" s="640" t="s">
        <v>723</v>
      </c>
      <c r="D18" s="642" t="s">
        <v>333</v>
      </c>
      <c r="E18" s="641">
        <v>900</v>
      </c>
      <c r="F18" s="641">
        <v>900</v>
      </c>
      <c r="G18" s="641">
        <v>900</v>
      </c>
      <c r="H18" s="641">
        <v>900</v>
      </c>
    </row>
    <row r="19" spans="1:19" ht="15" x14ac:dyDescent="0.25">
      <c r="A19" s="634">
        <v>8</v>
      </c>
      <c r="B19" s="639" t="s">
        <v>724</v>
      </c>
      <c r="C19" s="640" t="s">
        <v>725</v>
      </c>
      <c r="D19" s="642" t="s">
        <v>333</v>
      </c>
      <c r="E19" s="641">
        <v>1190</v>
      </c>
      <c r="F19" s="641">
        <v>1190</v>
      </c>
      <c r="G19" s="641">
        <v>1190</v>
      </c>
      <c r="H19" s="641">
        <v>1190</v>
      </c>
    </row>
    <row r="20" spans="1:19" ht="15" x14ac:dyDescent="0.25">
      <c r="A20" s="634">
        <v>9</v>
      </c>
      <c r="B20" s="639" t="s">
        <v>358</v>
      </c>
      <c r="C20" s="640" t="s">
        <v>726</v>
      </c>
      <c r="D20" s="642" t="s">
        <v>333</v>
      </c>
      <c r="E20" s="641">
        <v>1600</v>
      </c>
      <c r="F20" s="641">
        <v>1600</v>
      </c>
      <c r="G20" s="641">
        <v>1600</v>
      </c>
      <c r="H20" s="641">
        <v>1600</v>
      </c>
    </row>
    <row r="21" spans="1:19" ht="31.5" customHeight="1" x14ac:dyDescent="0.25">
      <c r="A21" s="634">
        <v>10</v>
      </c>
      <c r="B21" s="643" t="s">
        <v>727</v>
      </c>
      <c r="C21" s="644" t="s">
        <v>728</v>
      </c>
      <c r="D21" s="645" t="s">
        <v>333</v>
      </c>
      <c r="E21" s="646">
        <v>35</v>
      </c>
      <c r="F21" s="646">
        <v>35</v>
      </c>
      <c r="G21" s="646">
        <v>35</v>
      </c>
      <c r="H21" s="646">
        <v>35</v>
      </c>
    </row>
    <row r="22" spans="1:19" ht="15" x14ac:dyDescent="0.25">
      <c r="A22" s="634">
        <f>A21+1</f>
        <v>11</v>
      </c>
      <c r="B22" s="640"/>
      <c r="C22" s="640" t="s">
        <v>729</v>
      </c>
      <c r="D22" s="637"/>
      <c r="E22" s="641">
        <v>1844</v>
      </c>
      <c r="F22" s="641">
        <v>1844</v>
      </c>
      <c r="G22" s="641">
        <v>1844</v>
      </c>
      <c r="H22" s="641">
        <v>1844</v>
      </c>
    </row>
    <row r="23" spans="1:19" ht="15" x14ac:dyDescent="0.25">
      <c r="A23" s="634">
        <v>12</v>
      </c>
      <c r="B23" s="639" t="s">
        <v>958</v>
      </c>
      <c r="C23" s="640" t="s">
        <v>955</v>
      </c>
      <c r="D23" s="637" t="s">
        <v>333</v>
      </c>
      <c r="E23" s="641">
        <v>900</v>
      </c>
      <c r="F23" s="641">
        <v>900</v>
      </c>
      <c r="G23" s="641">
        <v>900</v>
      </c>
      <c r="H23" s="641">
        <v>900</v>
      </c>
    </row>
    <row r="24" spans="1:19" ht="31.5" customHeight="1" x14ac:dyDescent="0.25">
      <c r="A24" s="634">
        <f t="shared" ref="A24:A68" si="0">A23+1</f>
        <v>13</v>
      </c>
      <c r="B24" s="448" t="s">
        <v>382</v>
      </c>
      <c r="C24" s="647" t="s">
        <v>383</v>
      </c>
      <c r="D24" s="648" t="s">
        <v>333</v>
      </c>
      <c r="E24" s="649">
        <v>40</v>
      </c>
      <c r="F24" s="649">
        <v>40</v>
      </c>
      <c r="G24" s="649">
        <v>40</v>
      </c>
      <c r="H24" s="649">
        <v>40</v>
      </c>
    </row>
    <row r="25" spans="1:19" ht="30" customHeight="1" x14ac:dyDescent="0.25">
      <c r="A25" s="634">
        <f t="shared" si="0"/>
        <v>14</v>
      </c>
      <c r="B25" s="448" t="s">
        <v>386</v>
      </c>
      <c r="C25" s="647" t="s">
        <v>730</v>
      </c>
      <c r="D25" s="648" t="s">
        <v>333</v>
      </c>
      <c r="E25" s="650">
        <v>210</v>
      </c>
      <c r="F25" s="650">
        <v>210</v>
      </c>
      <c r="G25" s="650">
        <v>210</v>
      </c>
      <c r="H25" s="650">
        <v>210</v>
      </c>
    </row>
    <row r="26" spans="1:19" ht="27" customHeight="1" x14ac:dyDescent="0.25">
      <c r="A26" s="634">
        <f t="shared" si="0"/>
        <v>15</v>
      </c>
      <c r="B26" s="643" t="s">
        <v>388</v>
      </c>
      <c r="C26" s="644" t="s">
        <v>731</v>
      </c>
      <c r="D26" s="645" t="s">
        <v>333</v>
      </c>
      <c r="E26" s="646">
        <v>199</v>
      </c>
      <c r="F26" s="646">
        <v>199</v>
      </c>
      <c r="G26" s="646">
        <v>199</v>
      </c>
      <c r="H26" s="646">
        <v>199</v>
      </c>
    </row>
    <row r="27" spans="1:19" ht="26.25" customHeight="1" x14ac:dyDescent="0.25">
      <c r="A27" s="634">
        <f t="shared" si="0"/>
        <v>16</v>
      </c>
      <c r="B27" s="643" t="s">
        <v>390</v>
      </c>
      <c r="C27" s="644" t="s">
        <v>391</v>
      </c>
      <c r="D27" s="645" t="s">
        <v>333</v>
      </c>
      <c r="E27" s="646">
        <v>1863</v>
      </c>
      <c r="F27" s="646">
        <v>1863</v>
      </c>
      <c r="G27" s="646">
        <v>1863</v>
      </c>
      <c r="H27" s="646">
        <v>1863</v>
      </c>
    </row>
    <row r="28" spans="1:19" s="652" customFormat="1" ht="30" customHeight="1" x14ac:dyDescent="0.25">
      <c r="A28" s="634">
        <f t="shared" si="0"/>
        <v>17</v>
      </c>
      <c r="B28" s="448" t="s">
        <v>1080</v>
      </c>
      <c r="C28" s="651" t="s">
        <v>1081</v>
      </c>
      <c r="D28" s="648" t="s">
        <v>333</v>
      </c>
      <c r="E28" s="451">
        <v>5985</v>
      </c>
      <c r="F28" s="451">
        <v>5985</v>
      </c>
      <c r="G28" s="451">
        <v>5985</v>
      </c>
      <c r="H28" s="451">
        <v>5985</v>
      </c>
      <c r="I28" s="452"/>
      <c r="J28" s="452"/>
      <c r="K28" s="452"/>
      <c r="L28" s="452"/>
      <c r="M28" s="452"/>
      <c r="N28" s="452"/>
      <c r="O28" s="452"/>
      <c r="P28" s="452"/>
      <c r="Q28" s="452"/>
      <c r="R28" s="452"/>
      <c r="S28" s="452"/>
    </row>
    <row r="29" spans="1:19" ht="15" x14ac:dyDescent="0.25">
      <c r="A29" s="634">
        <f t="shared" si="0"/>
        <v>18</v>
      </c>
      <c r="B29" s="640" t="s">
        <v>398</v>
      </c>
      <c r="C29" s="640" t="s">
        <v>732</v>
      </c>
      <c r="D29" s="637" t="s">
        <v>333</v>
      </c>
      <c r="E29" s="641">
        <v>36</v>
      </c>
      <c r="F29" s="641">
        <v>36</v>
      </c>
      <c r="G29" s="641">
        <v>36</v>
      </c>
      <c r="H29" s="641">
        <v>36</v>
      </c>
    </row>
    <row r="30" spans="1:19" ht="27" customHeight="1" x14ac:dyDescent="0.25">
      <c r="A30" s="634">
        <f t="shared" si="0"/>
        <v>19</v>
      </c>
      <c r="B30" s="448"/>
      <c r="C30" s="651" t="s">
        <v>733</v>
      </c>
      <c r="D30" s="648" t="s">
        <v>333</v>
      </c>
      <c r="E30" s="650">
        <v>15</v>
      </c>
      <c r="F30" s="650">
        <v>15</v>
      </c>
      <c r="G30" s="650">
        <v>15</v>
      </c>
      <c r="H30" s="650">
        <v>15</v>
      </c>
    </row>
    <row r="31" spans="1:19" ht="35.25" customHeight="1" x14ac:dyDescent="0.25">
      <c r="A31" s="634">
        <f t="shared" si="0"/>
        <v>20</v>
      </c>
      <c r="B31" s="448" t="s">
        <v>404</v>
      </c>
      <c r="C31" s="651" t="s">
        <v>405</v>
      </c>
      <c r="D31" s="648">
        <v>43497</v>
      </c>
      <c r="E31" s="451">
        <v>3553</v>
      </c>
      <c r="F31" s="451">
        <v>3553</v>
      </c>
      <c r="G31" s="451">
        <v>3553</v>
      </c>
      <c r="H31" s="451">
        <v>3553</v>
      </c>
    </row>
    <row r="32" spans="1:19" ht="30.75" customHeight="1" x14ac:dyDescent="0.25">
      <c r="A32" s="634">
        <f t="shared" si="0"/>
        <v>21</v>
      </c>
      <c r="B32" s="448" t="s">
        <v>734</v>
      </c>
      <c r="C32" s="651" t="s">
        <v>1082</v>
      </c>
      <c r="D32" s="648" t="s">
        <v>333</v>
      </c>
      <c r="E32" s="451">
        <v>1920</v>
      </c>
      <c r="F32" s="451">
        <v>1920</v>
      </c>
      <c r="G32" s="451">
        <v>1920</v>
      </c>
      <c r="H32" s="451">
        <v>1920</v>
      </c>
    </row>
    <row r="33" spans="1:19" s="652" customFormat="1" ht="27.75" customHeight="1" x14ac:dyDescent="0.25">
      <c r="A33" s="634">
        <f t="shared" si="0"/>
        <v>22</v>
      </c>
      <c r="B33" s="448" t="s">
        <v>734</v>
      </c>
      <c r="C33" s="651" t="s">
        <v>1083</v>
      </c>
      <c r="D33" s="648" t="s">
        <v>333</v>
      </c>
      <c r="E33" s="451">
        <v>1800</v>
      </c>
      <c r="F33" s="451">
        <v>1800</v>
      </c>
      <c r="G33" s="451">
        <v>1800</v>
      </c>
      <c r="H33" s="451">
        <v>1800</v>
      </c>
      <c r="I33" s="452"/>
      <c r="J33" s="452"/>
      <c r="K33" s="452"/>
      <c r="L33" s="452"/>
      <c r="M33" s="452"/>
      <c r="N33" s="452"/>
      <c r="O33" s="452"/>
      <c r="P33" s="452"/>
      <c r="Q33" s="452"/>
      <c r="R33" s="452"/>
      <c r="S33" s="452"/>
    </row>
    <row r="34" spans="1:19" ht="27.75" customHeight="1" x14ac:dyDescent="0.25">
      <c r="A34" s="634">
        <f t="shared" si="0"/>
        <v>23</v>
      </c>
      <c r="B34" s="448" t="s">
        <v>735</v>
      </c>
      <c r="C34" s="651" t="s">
        <v>736</v>
      </c>
      <c r="D34" s="648" t="s">
        <v>333</v>
      </c>
      <c r="E34" s="451">
        <v>30</v>
      </c>
      <c r="F34" s="451">
        <v>30</v>
      </c>
      <c r="G34" s="451">
        <v>30</v>
      </c>
      <c r="H34" s="451">
        <v>30</v>
      </c>
    </row>
    <row r="35" spans="1:19" ht="21.75" customHeight="1" x14ac:dyDescent="0.25">
      <c r="A35" s="634">
        <f t="shared" si="0"/>
        <v>24</v>
      </c>
      <c r="B35" s="448" t="s">
        <v>737</v>
      </c>
      <c r="C35" s="651" t="s">
        <v>738</v>
      </c>
      <c r="D35" s="648">
        <v>44196</v>
      </c>
      <c r="E35" s="451">
        <v>153</v>
      </c>
      <c r="F35" s="451">
        <v>153</v>
      </c>
      <c r="G35" s="451">
        <v>153</v>
      </c>
      <c r="H35" s="451">
        <v>153</v>
      </c>
    </row>
    <row r="36" spans="1:19" ht="24.75" customHeight="1" x14ac:dyDescent="0.25">
      <c r="A36" s="634">
        <f t="shared" si="0"/>
        <v>25</v>
      </c>
      <c r="B36" s="448" t="s">
        <v>739</v>
      </c>
      <c r="C36" s="651" t="s">
        <v>740</v>
      </c>
      <c r="D36" s="648" t="s">
        <v>333</v>
      </c>
      <c r="E36" s="451">
        <v>457</v>
      </c>
      <c r="F36" s="451">
        <v>457</v>
      </c>
      <c r="G36" s="451">
        <v>457</v>
      </c>
      <c r="H36" s="451">
        <v>457</v>
      </c>
    </row>
    <row r="37" spans="1:19" ht="28.5" customHeight="1" x14ac:dyDescent="0.25">
      <c r="A37" s="634">
        <f t="shared" si="0"/>
        <v>26</v>
      </c>
      <c r="B37" s="448" t="s">
        <v>741</v>
      </c>
      <c r="C37" s="651" t="s">
        <v>937</v>
      </c>
      <c r="D37" s="648" t="s">
        <v>333</v>
      </c>
      <c r="E37" s="451">
        <v>198</v>
      </c>
      <c r="F37" s="451">
        <v>198</v>
      </c>
      <c r="G37" s="451">
        <v>198</v>
      </c>
      <c r="H37" s="451">
        <v>198</v>
      </c>
    </row>
    <row r="38" spans="1:19" ht="36" customHeight="1" x14ac:dyDescent="0.25">
      <c r="A38" s="634">
        <f t="shared" si="0"/>
        <v>27</v>
      </c>
      <c r="B38" s="448" t="s">
        <v>742</v>
      </c>
      <c r="C38" s="651" t="s">
        <v>743</v>
      </c>
      <c r="D38" s="648" t="s">
        <v>333</v>
      </c>
      <c r="E38" s="451">
        <v>217</v>
      </c>
      <c r="F38" s="451">
        <v>217</v>
      </c>
      <c r="G38" s="451">
        <v>217</v>
      </c>
      <c r="H38" s="451">
        <v>217</v>
      </c>
    </row>
    <row r="39" spans="1:19" ht="26.25" customHeight="1" x14ac:dyDescent="0.25">
      <c r="A39" s="634">
        <f t="shared" si="0"/>
        <v>28</v>
      </c>
      <c r="B39" s="448" t="s">
        <v>122</v>
      </c>
      <c r="C39" s="651" t="s">
        <v>744</v>
      </c>
      <c r="D39" s="648" t="s">
        <v>333</v>
      </c>
      <c r="E39" s="451">
        <v>1200</v>
      </c>
      <c r="F39" s="451">
        <v>1200</v>
      </c>
      <c r="G39" s="451">
        <v>1200</v>
      </c>
      <c r="H39" s="451">
        <v>1200</v>
      </c>
    </row>
    <row r="40" spans="1:19" ht="30.75" customHeight="1" x14ac:dyDescent="0.25">
      <c r="A40" s="634">
        <f t="shared" si="0"/>
        <v>29</v>
      </c>
      <c r="B40" s="448" t="s">
        <v>745</v>
      </c>
      <c r="C40" s="651" t="s">
        <v>746</v>
      </c>
      <c r="D40" s="648">
        <v>43709</v>
      </c>
      <c r="E40" s="451">
        <v>2439</v>
      </c>
      <c r="F40" s="451">
        <v>2439</v>
      </c>
      <c r="G40" s="451">
        <v>2439</v>
      </c>
      <c r="H40" s="451">
        <v>2439</v>
      </c>
    </row>
    <row r="41" spans="1:19" ht="36" customHeight="1" x14ac:dyDescent="0.25">
      <c r="A41" s="634">
        <f t="shared" si="0"/>
        <v>30</v>
      </c>
      <c r="B41" s="653" t="s">
        <v>747</v>
      </c>
      <c r="C41" s="651" t="s">
        <v>748</v>
      </c>
      <c r="D41" s="648" t="s">
        <v>333</v>
      </c>
      <c r="E41" s="450">
        <v>508</v>
      </c>
      <c r="F41" s="450">
        <v>508</v>
      </c>
      <c r="G41" s="450">
        <v>508</v>
      </c>
      <c r="H41" s="450">
        <v>508</v>
      </c>
    </row>
    <row r="42" spans="1:19" ht="30" customHeight="1" x14ac:dyDescent="0.25">
      <c r="A42" s="634">
        <f t="shared" si="0"/>
        <v>31</v>
      </c>
      <c r="B42" s="653"/>
      <c r="C42" s="651" t="s">
        <v>749</v>
      </c>
      <c r="D42" s="648" t="s">
        <v>333</v>
      </c>
      <c r="E42" s="450">
        <v>230</v>
      </c>
      <c r="F42" s="450">
        <v>230</v>
      </c>
      <c r="G42" s="450">
        <v>230</v>
      </c>
      <c r="H42" s="450">
        <v>230</v>
      </c>
    </row>
    <row r="43" spans="1:19" ht="15" x14ac:dyDescent="0.25">
      <c r="A43" s="634">
        <v>32</v>
      </c>
      <c r="B43" s="448" t="s">
        <v>1084</v>
      </c>
      <c r="C43" s="448" t="s">
        <v>750</v>
      </c>
      <c r="D43" s="648">
        <v>43251</v>
      </c>
      <c r="E43" s="450">
        <v>302</v>
      </c>
      <c r="F43" s="450">
        <v>302</v>
      </c>
      <c r="G43" s="450">
        <v>302</v>
      </c>
      <c r="H43" s="450">
        <v>302</v>
      </c>
    </row>
    <row r="44" spans="1:19" ht="15" x14ac:dyDescent="0.25">
      <c r="A44" s="634">
        <v>33</v>
      </c>
      <c r="B44" s="448" t="s">
        <v>751</v>
      </c>
      <c r="C44" s="448" t="s">
        <v>752</v>
      </c>
      <c r="D44" s="648" t="s">
        <v>1085</v>
      </c>
      <c r="E44" s="450">
        <v>10672</v>
      </c>
      <c r="F44" s="450">
        <v>10672</v>
      </c>
      <c r="G44" s="450">
        <v>10672</v>
      </c>
      <c r="H44" s="450"/>
    </row>
    <row r="45" spans="1:19" ht="15" x14ac:dyDescent="0.25">
      <c r="A45" s="634">
        <f t="shared" si="0"/>
        <v>34</v>
      </c>
      <c r="B45" s="448" t="s">
        <v>753</v>
      </c>
      <c r="C45" s="448" t="s">
        <v>754</v>
      </c>
      <c r="D45" s="648" t="s">
        <v>333</v>
      </c>
      <c r="E45" s="450">
        <v>5760</v>
      </c>
      <c r="F45" s="450">
        <v>5760</v>
      </c>
      <c r="G45" s="450">
        <v>5760</v>
      </c>
      <c r="H45" s="450">
        <v>5760</v>
      </c>
    </row>
    <row r="46" spans="1:19" ht="15" x14ac:dyDescent="0.25">
      <c r="A46" s="634">
        <f t="shared" si="0"/>
        <v>35</v>
      </c>
      <c r="B46" s="448" t="s">
        <v>755</v>
      </c>
      <c r="C46" s="448" t="s">
        <v>756</v>
      </c>
      <c r="D46" s="648" t="s">
        <v>333</v>
      </c>
      <c r="E46" s="450">
        <v>3658</v>
      </c>
      <c r="F46" s="450">
        <v>3658</v>
      </c>
      <c r="G46" s="450">
        <v>3658</v>
      </c>
      <c r="H46" s="450">
        <v>3658</v>
      </c>
    </row>
    <row r="47" spans="1:19" ht="15" x14ac:dyDescent="0.25">
      <c r="A47" s="634">
        <f t="shared" si="0"/>
        <v>36</v>
      </c>
      <c r="B47" s="448" t="s">
        <v>110</v>
      </c>
      <c r="C47" s="448" t="s">
        <v>758</v>
      </c>
      <c r="D47" s="648" t="s">
        <v>333</v>
      </c>
      <c r="E47" s="450">
        <v>242</v>
      </c>
      <c r="F47" s="450">
        <v>242</v>
      </c>
      <c r="G47" s="450">
        <v>242</v>
      </c>
      <c r="H47" s="450">
        <v>242</v>
      </c>
    </row>
    <row r="48" spans="1:19" ht="15" x14ac:dyDescent="0.25">
      <c r="A48" s="634">
        <f t="shared" si="0"/>
        <v>37</v>
      </c>
      <c r="B48" s="448" t="s">
        <v>759</v>
      </c>
      <c r="C48" s="448" t="s">
        <v>760</v>
      </c>
      <c r="D48" s="648" t="s">
        <v>333</v>
      </c>
      <c r="E48" s="450">
        <v>993</v>
      </c>
      <c r="F48" s="450">
        <v>993</v>
      </c>
      <c r="G48" s="450">
        <v>993</v>
      </c>
      <c r="H48" s="450">
        <v>993</v>
      </c>
    </row>
    <row r="49" spans="1:11" ht="30" x14ac:dyDescent="0.25">
      <c r="A49" s="634">
        <f t="shared" si="0"/>
        <v>38</v>
      </c>
      <c r="B49" s="653" t="s">
        <v>761</v>
      </c>
      <c r="C49" s="651" t="s">
        <v>762</v>
      </c>
      <c r="D49" s="648" t="s">
        <v>333</v>
      </c>
      <c r="E49" s="450">
        <v>38</v>
      </c>
      <c r="F49" s="450">
        <v>38</v>
      </c>
      <c r="G49" s="450">
        <v>38</v>
      </c>
      <c r="H49" s="450">
        <v>38</v>
      </c>
    </row>
    <row r="50" spans="1:11" ht="15" customHeight="1" x14ac:dyDescent="0.25">
      <c r="A50" s="634">
        <f t="shared" si="0"/>
        <v>39</v>
      </c>
      <c r="B50" s="448"/>
      <c r="C50" s="448" t="s">
        <v>763</v>
      </c>
      <c r="D50" s="648" t="s">
        <v>333</v>
      </c>
      <c r="E50" s="450">
        <v>45</v>
      </c>
      <c r="F50" s="450">
        <v>45</v>
      </c>
      <c r="G50" s="450">
        <v>45</v>
      </c>
      <c r="H50" s="450">
        <v>45</v>
      </c>
    </row>
    <row r="51" spans="1:11" ht="15" x14ac:dyDescent="0.25">
      <c r="A51" s="634">
        <f t="shared" si="0"/>
        <v>40</v>
      </c>
      <c r="B51" s="448" t="s">
        <v>1086</v>
      </c>
      <c r="C51" s="448" t="s">
        <v>764</v>
      </c>
      <c r="D51" s="648">
        <v>43190</v>
      </c>
      <c r="E51" s="450">
        <v>610</v>
      </c>
      <c r="F51" s="450">
        <v>610</v>
      </c>
      <c r="G51" s="450">
        <v>610</v>
      </c>
      <c r="H51" s="450">
        <v>610</v>
      </c>
    </row>
    <row r="52" spans="1:11" ht="15" x14ac:dyDescent="0.25">
      <c r="A52" s="634">
        <f t="shared" si="0"/>
        <v>41</v>
      </c>
      <c r="B52" s="448" t="s">
        <v>1087</v>
      </c>
      <c r="C52" s="448" t="s">
        <v>765</v>
      </c>
      <c r="D52" s="648">
        <v>43190</v>
      </c>
      <c r="E52" s="450">
        <v>610</v>
      </c>
      <c r="F52" s="450">
        <v>610</v>
      </c>
      <c r="G52" s="450">
        <v>610</v>
      </c>
      <c r="H52" s="450">
        <v>610</v>
      </c>
    </row>
    <row r="53" spans="1:11" ht="15" x14ac:dyDescent="0.25">
      <c r="A53" s="634">
        <f t="shared" si="0"/>
        <v>42</v>
      </c>
      <c r="B53" s="448" t="s">
        <v>766</v>
      </c>
      <c r="C53" s="448" t="s">
        <v>767</v>
      </c>
      <c r="D53" s="648">
        <v>42825</v>
      </c>
      <c r="E53" s="450">
        <v>210</v>
      </c>
      <c r="F53" s="450">
        <v>210</v>
      </c>
      <c r="G53" s="450">
        <v>210</v>
      </c>
      <c r="H53" s="450">
        <v>210</v>
      </c>
    </row>
    <row r="54" spans="1:11" ht="15" x14ac:dyDescent="0.25">
      <c r="A54" s="634">
        <f t="shared" si="0"/>
        <v>43</v>
      </c>
      <c r="B54" s="448" t="s">
        <v>768</v>
      </c>
      <c r="C54" s="448" t="s">
        <v>769</v>
      </c>
      <c r="D54" s="648">
        <v>42855</v>
      </c>
      <c r="E54" s="450">
        <v>972</v>
      </c>
      <c r="F54" s="450">
        <v>972</v>
      </c>
      <c r="G54" s="450">
        <v>972</v>
      </c>
      <c r="H54" s="450">
        <v>972</v>
      </c>
    </row>
    <row r="55" spans="1:11" ht="15" x14ac:dyDescent="0.25">
      <c r="A55" s="634">
        <f t="shared" si="0"/>
        <v>44</v>
      </c>
      <c r="B55" s="448" t="s">
        <v>757</v>
      </c>
      <c r="C55" s="448" t="s">
        <v>770</v>
      </c>
      <c r="D55" s="648" t="s">
        <v>333</v>
      </c>
      <c r="E55" s="450">
        <v>486</v>
      </c>
      <c r="F55" s="450">
        <v>486</v>
      </c>
      <c r="G55" s="450">
        <v>486</v>
      </c>
      <c r="H55" s="450">
        <v>486</v>
      </c>
    </row>
    <row r="56" spans="1:11" ht="15.75" x14ac:dyDescent="0.25">
      <c r="A56" s="634">
        <v>45</v>
      </c>
      <c r="B56" s="654"/>
      <c r="C56" s="448" t="s">
        <v>771</v>
      </c>
      <c r="D56" s="655" t="s">
        <v>333</v>
      </c>
      <c r="E56" s="450">
        <v>175</v>
      </c>
      <c r="F56" s="450">
        <v>175</v>
      </c>
      <c r="G56" s="450">
        <v>175</v>
      </c>
      <c r="H56" s="450">
        <v>175</v>
      </c>
    </row>
    <row r="57" spans="1:11" ht="15.75" x14ac:dyDescent="0.25">
      <c r="A57" s="634">
        <f t="shared" si="0"/>
        <v>46</v>
      </c>
      <c r="B57" s="654"/>
      <c r="C57" s="448" t="s">
        <v>772</v>
      </c>
      <c r="D57" s="655" t="s">
        <v>333</v>
      </c>
      <c r="E57" s="450">
        <v>55</v>
      </c>
      <c r="F57" s="450">
        <v>55</v>
      </c>
      <c r="G57" s="450">
        <v>55</v>
      </c>
      <c r="H57" s="450">
        <v>55</v>
      </c>
    </row>
    <row r="58" spans="1:11" ht="15" x14ac:dyDescent="0.25">
      <c r="A58" s="634">
        <f t="shared" si="0"/>
        <v>47</v>
      </c>
      <c r="B58" s="654"/>
      <c r="C58" s="448" t="s">
        <v>773</v>
      </c>
      <c r="D58" s="656">
        <v>45291</v>
      </c>
      <c r="E58" s="450">
        <v>19500</v>
      </c>
      <c r="F58" s="450">
        <v>19500</v>
      </c>
      <c r="G58" s="450">
        <v>19500</v>
      </c>
      <c r="H58" s="450">
        <v>19500</v>
      </c>
    </row>
    <row r="59" spans="1:11" ht="15.75" x14ac:dyDescent="0.25">
      <c r="A59" s="634">
        <f t="shared" si="0"/>
        <v>48</v>
      </c>
      <c r="B59" s="654"/>
      <c r="C59" s="448" t="s">
        <v>774</v>
      </c>
      <c r="D59" s="655" t="s">
        <v>333</v>
      </c>
      <c r="E59" s="450">
        <v>37</v>
      </c>
      <c r="F59" s="450">
        <v>37</v>
      </c>
      <c r="G59" s="450">
        <v>37</v>
      </c>
      <c r="H59" s="450">
        <v>37</v>
      </c>
    </row>
    <row r="60" spans="1:11" ht="15.75" x14ac:dyDescent="0.25">
      <c r="A60" s="634">
        <f t="shared" si="0"/>
        <v>49</v>
      </c>
      <c r="B60" s="654"/>
      <c r="C60" s="448" t="s">
        <v>775</v>
      </c>
      <c r="D60" s="655" t="s">
        <v>333</v>
      </c>
      <c r="E60" s="450">
        <v>53</v>
      </c>
      <c r="F60" s="450">
        <v>53</v>
      </c>
      <c r="G60" s="450">
        <v>53</v>
      </c>
      <c r="H60" s="450">
        <v>53</v>
      </c>
      <c r="K60" s="450"/>
    </row>
    <row r="61" spans="1:11" ht="15.75" x14ac:dyDescent="0.25">
      <c r="A61" s="634">
        <f t="shared" si="0"/>
        <v>50</v>
      </c>
      <c r="B61" s="654"/>
      <c r="C61" s="448" t="s">
        <v>776</v>
      </c>
      <c r="D61" s="655" t="s">
        <v>333</v>
      </c>
      <c r="E61" s="450">
        <v>104</v>
      </c>
      <c r="F61" s="450">
        <v>104</v>
      </c>
      <c r="G61" s="450">
        <v>104</v>
      </c>
      <c r="H61" s="450">
        <v>104</v>
      </c>
    </row>
    <row r="62" spans="1:11" ht="15.75" x14ac:dyDescent="0.25">
      <c r="A62" s="634">
        <f t="shared" si="0"/>
        <v>51</v>
      </c>
      <c r="B62" s="654"/>
      <c r="C62" s="448" t="s">
        <v>777</v>
      </c>
      <c r="D62" s="655" t="s">
        <v>333</v>
      </c>
      <c r="E62" s="450">
        <v>192</v>
      </c>
      <c r="F62" s="450">
        <v>192</v>
      </c>
      <c r="G62" s="450">
        <v>192</v>
      </c>
      <c r="H62" s="450">
        <v>192</v>
      </c>
    </row>
    <row r="63" spans="1:11" ht="15.75" x14ac:dyDescent="0.25">
      <c r="A63" s="634">
        <f t="shared" si="0"/>
        <v>52</v>
      </c>
      <c r="B63" s="654"/>
      <c r="C63" s="448" t="s">
        <v>778</v>
      </c>
      <c r="D63" s="655" t="s">
        <v>333</v>
      </c>
      <c r="E63" s="450">
        <v>134</v>
      </c>
      <c r="F63" s="450">
        <v>134</v>
      </c>
      <c r="G63" s="450">
        <v>134</v>
      </c>
      <c r="H63" s="450">
        <v>134</v>
      </c>
    </row>
    <row r="64" spans="1:11" ht="15.75" x14ac:dyDescent="0.25">
      <c r="A64" s="634">
        <f t="shared" si="0"/>
        <v>53</v>
      </c>
      <c r="B64" s="654"/>
      <c r="C64" s="448" t="s">
        <v>779</v>
      </c>
      <c r="D64" s="655" t="s">
        <v>333</v>
      </c>
      <c r="E64" s="450">
        <v>159</v>
      </c>
      <c r="F64" s="450">
        <v>159</v>
      </c>
      <c r="G64" s="450">
        <v>159</v>
      </c>
      <c r="H64" s="450">
        <v>159</v>
      </c>
    </row>
    <row r="65" spans="1:11" ht="15" x14ac:dyDescent="0.25">
      <c r="A65" s="634">
        <f t="shared" si="0"/>
        <v>54</v>
      </c>
      <c r="B65" s="657">
        <v>68360</v>
      </c>
      <c r="C65" s="448" t="s">
        <v>939</v>
      </c>
      <c r="D65" s="658" t="s">
        <v>333</v>
      </c>
      <c r="E65" s="450">
        <v>1844</v>
      </c>
      <c r="F65" s="450">
        <v>1844</v>
      </c>
      <c r="G65" s="450">
        <v>1844</v>
      </c>
      <c r="H65" s="450">
        <v>1844</v>
      </c>
    </row>
    <row r="66" spans="1:11" ht="15" x14ac:dyDescent="0.25">
      <c r="A66" s="634">
        <f t="shared" si="0"/>
        <v>55</v>
      </c>
      <c r="B66" s="659" t="s">
        <v>889</v>
      </c>
      <c r="C66" s="448" t="s">
        <v>890</v>
      </c>
      <c r="D66" s="656">
        <v>43465</v>
      </c>
      <c r="E66" s="450">
        <v>21000</v>
      </c>
      <c r="F66" s="450">
        <v>21000</v>
      </c>
      <c r="G66" s="450">
        <v>21000</v>
      </c>
      <c r="H66" s="450">
        <v>21000</v>
      </c>
    </row>
    <row r="67" spans="1:11" ht="15" x14ac:dyDescent="0.25">
      <c r="A67" s="634">
        <f t="shared" si="0"/>
        <v>56</v>
      </c>
      <c r="B67" s="659" t="s">
        <v>891</v>
      </c>
      <c r="C67" s="448" t="s">
        <v>892</v>
      </c>
      <c r="D67" s="658" t="s">
        <v>333</v>
      </c>
      <c r="E67" s="450">
        <v>31000</v>
      </c>
      <c r="F67" s="450">
        <v>31000</v>
      </c>
      <c r="G67" s="450">
        <v>31000</v>
      </c>
      <c r="H67" s="450">
        <v>31000</v>
      </c>
      <c r="I67" s="566"/>
    </row>
    <row r="68" spans="1:11" ht="15" x14ac:dyDescent="0.25">
      <c r="A68" s="634">
        <f t="shared" si="0"/>
        <v>57</v>
      </c>
      <c r="B68" s="660"/>
      <c r="C68" s="448" t="s">
        <v>893</v>
      </c>
      <c r="D68" s="658" t="s">
        <v>333</v>
      </c>
      <c r="E68" s="450">
        <v>732</v>
      </c>
      <c r="F68" s="450">
        <v>732</v>
      </c>
      <c r="G68" s="450">
        <v>732</v>
      </c>
      <c r="H68" s="450">
        <v>732</v>
      </c>
      <c r="I68" s="566"/>
    </row>
    <row r="69" spans="1:11" ht="15" x14ac:dyDescent="0.25">
      <c r="A69" s="634">
        <v>61</v>
      </c>
      <c r="B69" s="659" t="s">
        <v>956</v>
      </c>
      <c r="C69" s="448" t="s">
        <v>957</v>
      </c>
      <c r="D69" s="658" t="s">
        <v>333</v>
      </c>
      <c r="E69" s="450">
        <v>3277</v>
      </c>
      <c r="F69" s="450">
        <v>3277</v>
      </c>
      <c r="G69" s="450">
        <v>3277</v>
      </c>
      <c r="H69" s="450">
        <v>3277</v>
      </c>
      <c r="I69" s="566"/>
    </row>
    <row r="70" spans="1:11" ht="30" x14ac:dyDescent="0.25">
      <c r="A70" s="634">
        <v>62</v>
      </c>
      <c r="B70" s="659" t="s">
        <v>1088</v>
      </c>
      <c r="C70" s="516" t="s">
        <v>1089</v>
      </c>
      <c r="D70" s="658" t="s">
        <v>333</v>
      </c>
      <c r="E70" s="450">
        <v>600</v>
      </c>
      <c r="F70" s="450">
        <v>600</v>
      </c>
      <c r="G70" s="450">
        <v>600</v>
      </c>
      <c r="H70" s="450">
        <v>600</v>
      </c>
      <c r="I70" s="566"/>
      <c r="J70" s="566"/>
      <c r="K70" s="566"/>
    </row>
    <row r="71" spans="1:11" ht="15" x14ac:dyDescent="0.25">
      <c r="A71" s="634">
        <v>63</v>
      </c>
      <c r="B71" s="659" t="s">
        <v>1090</v>
      </c>
      <c r="C71" s="448" t="s">
        <v>1091</v>
      </c>
      <c r="D71" s="658" t="s">
        <v>333</v>
      </c>
      <c r="E71" s="450">
        <v>283</v>
      </c>
      <c r="F71" s="450">
        <v>283</v>
      </c>
      <c r="G71" s="450">
        <v>283</v>
      </c>
      <c r="H71" s="450">
        <v>283</v>
      </c>
      <c r="I71" s="661"/>
      <c r="J71" s="661"/>
      <c r="K71" s="661"/>
    </row>
    <row r="72" spans="1:11" ht="15" x14ac:dyDescent="0.25">
      <c r="A72" s="634">
        <v>64</v>
      </c>
      <c r="B72" s="659" t="s">
        <v>1092</v>
      </c>
      <c r="C72" s="448" t="s">
        <v>1093</v>
      </c>
      <c r="D72" s="656">
        <v>46727</v>
      </c>
      <c r="E72" s="450"/>
      <c r="F72" s="450"/>
      <c r="G72" s="450">
        <v>155396</v>
      </c>
      <c r="H72" s="450">
        <v>155396</v>
      </c>
      <c r="I72" s="661"/>
      <c r="J72" s="661"/>
      <c r="K72" s="661"/>
    </row>
    <row r="73" spans="1:11" ht="15" x14ac:dyDescent="0.25">
      <c r="A73" s="634">
        <v>65</v>
      </c>
      <c r="B73" s="659" t="s">
        <v>1094</v>
      </c>
      <c r="C73" s="448" t="s">
        <v>1095</v>
      </c>
      <c r="D73" s="656" t="s">
        <v>333</v>
      </c>
      <c r="E73" s="450">
        <v>3000</v>
      </c>
      <c r="F73" s="450">
        <v>3000</v>
      </c>
      <c r="G73" s="450">
        <v>3000</v>
      </c>
      <c r="H73" s="450">
        <v>3000</v>
      </c>
      <c r="I73" s="661"/>
      <c r="J73" s="661"/>
      <c r="K73" s="661"/>
    </row>
    <row r="74" spans="1:11" ht="15" x14ac:dyDescent="0.25">
      <c r="A74" s="634">
        <v>66</v>
      </c>
      <c r="B74" s="659" t="s">
        <v>1096</v>
      </c>
      <c r="C74" s="448" t="s">
        <v>1097</v>
      </c>
      <c r="D74" s="656">
        <v>44105</v>
      </c>
      <c r="E74" s="450">
        <v>350</v>
      </c>
      <c r="F74" s="450">
        <v>350</v>
      </c>
      <c r="G74" s="450">
        <v>263</v>
      </c>
      <c r="H74" s="450">
        <v>0</v>
      </c>
      <c r="I74" s="661"/>
      <c r="J74" s="661"/>
      <c r="K74" s="661"/>
    </row>
    <row r="75" spans="1:11" ht="15.75" x14ac:dyDescent="0.25">
      <c r="A75" s="634"/>
      <c r="B75" s="654"/>
      <c r="C75" s="654"/>
      <c r="D75" s="662"/>
      <c r="E75" s="663">
        <f>SUM(E11:E74)</f>
        <v>186649</v>
      </c>
      <c r="F75" s="664">
        <f>SUM(F12:F74)</f>
        <v>186649</v>
      </c>
      <c r="G75" s="664">
        <f>SUM(G12:G74)</f>
        <v>341958</v>
      </c>
      <c r="H75" s="664">
        <f>SUM(H12:H74)</f>
        <v>331023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275" customWidth="1"/>
    <col min="2" max="2" width="27.7109375" style="287" customWidth="1"/>
    <col min="3" max="3" width="47.85546875" style="287" customWidth="1"/>
    <col min="4" max="4" width="9.140625" style="276"/>
    <col min="5" max="5" width="8.7109375" style="287" bestFit="1" customWidth="1"/>
    <col min="6" max="6" width="8.42578125" style="287" bestFit="1" customWidth="1"/>
    <col min="7" max="7" width="8.7109375" style="287" customWidth="1"/>
    <col min="8" max="8" width="8.85546875" style="287" customWidth="1"/>
    <col min="9" max="9" width="9.140625" style="287"/>
    <col min="10" max="16384" width="9.140625" style="278"/>
  </cols>
  <sheetData>
    <row r="1" spans="1:11" ht="14.1" customHeight="1" x14ac:dyDescent="0.25">
      <c r="C1" s="1692" t="s">
        <v>160</v>
      </c>
      <c r="D1" s="1692"/>
      <c r="E1" s="1692"/>
      <c r="F1" s="1692"/>
      <c r="G1" s="1692"/>
      <c r="H1" s="1692"/>
    </row>
    <row r="2" spans="1:11" ht="20.100000000000001" customHeight="1" x14ac:dyDescent="0.25">
      <c r="A2" s="1675" t="s">
        <v>317</v>
      </c>
      <c r="B2" s="1693"/>
      <c r="C2" s="1693"/>
      <c r="D2" s="1693"/>
      <c r="E2" s="1693"/>
      <c r="F2" s="1693"/>
      <c r="G2" s="1693"/>
      <c r="H2" s="1693"/>
    </row>
    <row r="3" spans="1:11" ht="14.1" customHeight="1" x14ac:dyDescent="0.25">
      <c r="A3" s="1675" t="s">
        <v>318</v>
      </c>
      <c r="B3" s="1693"/>
      <c r="C3" s="1693"/>
      <c r="D3" s="1693"/>
      <c r="E3" s="1693"/>
      <c r="F3" s="1693"/>
      <c r="G3" s="1693"/>
      <c r="H3" s="1693"/>
    </row>
    <row r="4" spans="1:11" ht="14.1" customHeight="1" x14ac:dyDescent="0.25">
      <c r="A4" s="1676" t="s">
        <v>55</v>
      </c>
      <c r="B4" s="1694"/>
      <c r="C4" s="1694"/>
      <c r="D4" s="1694"/>
      <c r="E4" s="1694"/>
      <c r="F4" s="1694"/>
      <c r="G4" s="1694"/>
      <c r="H4" s="1694"/>
    </row>
    <row r="5" spans="1:11" ht="14.1" customHeight="1" x14ac:dyDescent="0.25">
      <c r="A5" s="274"/>
      <c r="B5" s="275"/>
      <c r="C5" s="275"/>
      <c r="D5" s="275"/>
      <c r="E5" s="275"/>
      <c r="F5" s="275"/>
      <c r="G5" s="275"/>
      <c r="H5" s="275"/>
    </row>
    <row r="6" spans="1:11" ht="14.1" customHeight="1" x14ac:dyDescent="0.25">
      <c r="A6" s="1684"/>
      <c r="B6" s="277" t="s">
        <v>57</v>
      </c>
      <c r="C6" s="277" t="s">
        <v>58</v>
      </c>
      <c r="D6" s="277" t="s">
        <v>59</v>
      </c>
      <c r="E6" s="277" t="s">
        <v>60</v>
      </c>
      <c r="F6" s="277" t="s">
        <v>471</v>
      </c>
      <c r="G6" s="277" t="s">
        <v>472</v>
      </c>
      <c r="H6" s="277" t="s">
        <v>473</v>
      </c>
      <c r="I6" s="277" t="s">
        <v>595</v>
      </c>
    </row>
    <row r="7" spans="1:11" s="317" customFormat="1" ht="13.5" customHeight="1" x14ac:dyDescent="0.25">
      <c r="A7" s="1684"/>
      <c r="B7" s="1691" t="s">
        <v>319</v>
      </c>
      <c r="C7" s="1695" t="s">
        <v>320</v>
      </c>
      <c r="D7" s="1695" t="s">
        <v>321</v>
      </c>
      <c r="E7" s="1689" t="s">
        <v>322</v>
      </c>
      <c r="F7" s="1690"/>
      <c r="G7" s="1690"/>
      <c r="H7" s="1690"/>
      <c r="I7" s="1691"/>
      <c r="J7" s="316"/>
      <c r="K7" s="316"/>
    </row>
    <row r="8" spans="1:11" s="317" customFormat="1" ht="13.5" customHeight="1" x14ac:dyDescent="0.25">
      <c r="A8" s="1684"/>
      <c r="B8" s="1691"/>
      <c r="C8" s="1695"/>
      <c r="D8" s="1695"/>
      <c r="E8" s="318" t="s">
        <v>323</v>
      </c>
      <c r="F8" s="318" t="s">
        <v>324</v>
      </c>
      <c r="G8" s="318" t="s">
        <v>325</v>
      </c>
      <c r="H8" s="319" t="s">
        <v>326</v>
      </c>
      <c r="I8" s="318" t="s">
        <v>157</v>
      </c>
      <c r="J8" s="320"/>
      <c r="K8" s="320"/>
    </row>
    <row r="9" spans="1:11" s="317" customFormat="1" ht="13.5" customHeight="1" x14ac:dyDescent="0.25">
      <c r="A9" s="285" t="s">
        <v>480</v>
      </c>
      <c r="B9" s="321" t="s">
        <v>327</v>
      </c>
      <c r="C9" s="322"/>
      <c r="D9" s="323"/>
      <c r="E9" s="322"/>
      <c r="F9" s="322"/>
      <c r="G9" s="322"/>
      <c r="H9" s="322"/>
      <c r="I9" s="273"/>
    </row>
    <row r="10" spans="1:11" ht="13.5" customHeight="1" x14ac:dyDescent="0.25">
      <c r="A10" s="285" t="s">
        <v>488</v>
      </c>
      <c r="B10" s="324" t="s">
        <v>328</v>
      </c>
    </row>
    <row r="11" spans="1:11" ht="13.5" customHeight="1" x14ac:dyDescent="0.25">
      <c r="A11" s="285" t="s">
        <v>489</v>
      </c>
      <c r="B11" s="307" t="s">
        <v>329</v>
      </c>
      <c r="C11" s="308" t="s">
        <v>330</v>
      </c>
      <c r="D11" s="309"/>
      <c r="E11" s="308"/>
      <c r="F11" s="308"/>
      <c r="G11" s="308"/>
      <c r="H11" s="308"/>
    </row>
    <row r="12" spans="1:11" ht="13.5" customHeight="1" x14ac:dyDescent="0.25">
      <c r="A12" s="285" t="s">
        <v>490</v>
      </c>
      <c r="B12" s="307" t="s">
        <v>331</v>
      </c>
      <c r="C12" s="308" t="s">
        <v>332</v>
      </c>
      <c r="D12" s="276" t="s">
        <v>333</v>
      </c>
      <c r="E12" s="310">
        <v>300</v>
      </c>
      <c r="F12" s="310">
        <v>300</v>
      </c>
      <c r="G12" s="310">
        <v>300</v>
      </c>
      <c r="H12" s="310">
        <v>300</v>
      </c>
    </row>
    <row r="13" spans="1:11" ht="13.5" customHeight="1" x14ac:dyDescent="0.25">
      <c r="A13" s="285" t="s">
        <v>491</v>
      </c>
      <c r="B13" s="286" t="s">
        <v>334</v>
      </c>
      <c r="C13" s="287" t="s">
        <v>335</v>
      </c>
      <c r="D13" s="276" t="s">
        <v>333</v>
      </c>
      <c r="E13" s="284">
        <v>100</v>
      </c>
      <c r="F13" s="284">
        <v>100</v>
      </c>
      <c r="G13" s="284">
        <v>100</v>
      </c>
      <c r="H13" s="284">
        <v>100</v>
      </c>
      <c r="I13" s="287">
        <v>100</v>
      </c>
    </row>
    <row r="14" spans="1:11" ht="13.5" customHeight="1" x14ac:dyDescent="0.25">
      <c r="A14" s="285" t="s">
        <v>492</v>
      </c>
      <c r="B14" s="286" t="s">
        <v>336</v>
      </c>
      <c r="C14" s="287" t="s">
        <v>337</v>
      </c>
      <c r="D14" s="276" t="s">
        <v>333</v>
      </c>
      <c r="E14" s="284">
        <v>24554</v>
      </c>
      <c r="F14" s="284">
        <v>19393</v>
      </c>
      <c r="G14" s="284"/>
      <c r="H14" s="284">
        <v>24241</v>
      </c>
      <c r="I14" s="287">
        <v>24250</v>
      </c>
    </row>
    <row r="15" spans="1:11" ht="13.5" customHeight="1" x14ac:dyDescent="0.25">
      <c r="A15" s="285" t="s">
        <v>493</v>
      </c>
      <c r="B15" s="286" t="s">
        <v>338</v>
      </c>
      <c r="C15" s="287" t="s">
        <v>339</v>
      </c>
      <c r="D15" s="276" t="s">
        <v>333</v>
      </c>
      <c r="E15" s="284"/>
      <c r="F15" s="284"/>
      <c r="G15" s="284"/>
      <c r="H15" s="284"/>
    </row>
    <row r="16" spans="1:11" ht="13.5" customHeight="1" x14ac:dyDescent="0.25">
      <c r="A16" s="285" t="s">
        <v>494</v>
      </c>
      <c r="B16" s="286" t="s">
        <v>340</v>
      </c>
      <c r="C16" s="287" t="s">
        <v>341</v>
      </c>
      <c r="D16" s="276" t="s">
        <v>333</v>
      </c>
      <c r="E16" s="284">
        <v>17280</v>
      </c>
      <c r="F16" s="284">
        <v>17280</v>
      </c>
      <c r="G16" s="284">
        <v>17280</v>
      </c>
      <c r="H16" s="284">
        <v>17280</v>
      </c>
      <c r="I16" s="287">
        <v>17280</v>
      </c>
    </row>
    <row r="17" spans="1:13" ht="13.5" customHeight="1" x14ac:dyDescent="0.25">
      <c r="A17" s="285" t="s">
        <v>495</v>
      </c>
      <c r="B17" s="286" t="s">
        <v>342</v>
      </c>
      <c r="C17" s="287" t="s">
        <v>343</v>
      </c>
      <c r="D17" s="276" t="s">
        <v>333</v>
      </c>
      <c r="E17" s="284">
        <v>32739</v>
      </c>
      <c r="F17" s="284">
        <v>25858</v>
      </c>
      <c r="G17" s="284"/>
      <c r="H17" s="284">
        <v>27321</v>
      </c>
      <c r="I17" s="287">
        <v>27350</v>
      </c>
    </row>
    <row r="18" spans="1:13" ht="13.5" customHeight="1" x14ac:dyDescent="0.25">
      <c r="A18" s="285" t="s">
        <v>531</v>
      </c>
      <c r="B18" s="286"/>
      <c r="C18" s="287" t="s">
        <v>344</v>
      </c>
      <c r="D18" s="276" t="s">
        <v>333</v>
      </c>
      <c r="E18" s="284"/>
      <c r="F18" s="284"/>
      <c r="G18" s="284"/>
      <c r="H18" s="284"/>
    </row>
    <row r="19" spans="1:13" ht="13.5" customHeight="1" x14ac:dyDescent="0.25">
      <c r="A19" s="285" t="s">
        <v>532</v>
      </c>
      <c r="B19" s="286"/>
      <c r="C19" s="287" t="s">
        <v>345</v>
      </c>
      <c r="D19" s="276" t="s">
        <v>333</v>
      </c>
      <c r="E19" s="284">
        <v>23050</v>
      </c>
      <c r="F19" s="284">
        <v>23050</v>
      </c>
      <c r="G19" s="284">
        <v>23050</v>
      </c>
      <c r="H19" s="284">
        <v>23050</v>
      </c>
      <c r="I19" s="287">
        <v>23050</v>
      </c>
    </row>
    <row r="20" spans="1:13" ht="18" customHeight="1" x14ac:dyDescent="0.25">
      <c r="A20" s="285" t="s">
        <v>533</v>
      </c>
      <c r="B20" s="286" t="s">
        <v>346</v>
      </c>
      <c r="C20" s="287" t="s">
        <v>347</v>
      </c>
      <c r="D20" s="276" t="s">
        <v>333</v>
      </c>
      <c r="E20" s="284">
        <v>9</v>
      </c>
      <c r="F20" s="284">
        <v>9</v>
      </c>
      <c r="G20" s="284">
        <v>9</v>
      </c>
      <c r="H20" s="284">
        <v>9</v>
      </c>
      <c r="I20" s="287">
        <v>9</v>
      </c>
    </row>
    <row r="21" spans="1:13" ht="13.5" customHeight="1" x14ac:dyDescent="0.25">
      <c r="A21" s="285" t="s">
        <v>534</v>
      </c>
      <c r="B21" s="286" t="s">
        <v>348</v>
      </c>
      <c r="C21" s="287" t="s">
        <v>349</v>
      </c>
      <c r="D21" s="276" t="s">
        <v>333</v>
      </c>
      <c r="E21" s="284">
        <v>50</v>
      </c>
      <c r="F21" s="284">
        <v>50</v>
      </c>
      <c r="G21" s="284">
        <v>50</v>
      </c>
      <c r="H21" s="284">
        <v>100</v>
      </c>
      <c r="I21" s="287">
        <v>100</v>
      </c>
    </row>
    <row r="22" spans="1:13" ht="21" customHeight="1" x14ac:dyDescent="0.25">
      <c r="A22" s="285" t="s">
        <v>535</v>
      </c>
      <c r="B22" s="286" t="s">
        <v>350</v>
      </c>
      <c r="C22" s="287" t="s">
        <v>351</v>
      </c>
      <c r="D22" s="288" t="s">
        <v>333</v>
      </c>
      <c r="E22" s="284">
        <v>875</v>
      </c>
      <c r="F22" s="284">
        <v>875</v>
      </c>
      <c r="G22" s="284">
        <v>875</v>
      </c>
      <c r="H22" s="284">
        <v>875</v>
      </c>
      <c r="I22" s="287">
        <v>875</v>
      </c>
    </row>
    <row r="23" spans="1:13" s="280" customFormat="1" ht="30" x14ac:dyDescent="0.25">
      <c r="A23" s="285" t="s">
        <v>536</v>
      </c>
      <c r="B23" s="289" t="s">
        <v>352</v>
      </c>
      <c r="C23" s="311" t="s">
        <v>353</v>
      </c>
      <c r="D23" s="291" t="s">
        <v>333</v>
      </c>
      <c r="E23" s="312">
        <v>129</v>
      </c>
      <c r="F23" s="312">
        <v>129</v>
      </c>
      <c r="G23" s="312">
        <v>129</v>
      </c>
      <c r="H23" s="312">
        <v>193</v>
      </c>
      <c r="I23" s="297">
        <v>193</v>
      </c>
      <c r="J23" s="304"/>
      <c r="K23" s="313"/>
      <c r="M23" s="314"/>
    </row>
    <row r="24" spans="1:13" ht="17.25" customHeight="1" x14ac:dyDescent="0.25">
      <c r="A24" s="285" t="s">
        <v>537</v>
      </c>
      <c r="B24" s="286" t="s">
        <v>108</v>
      </c>
      <c r="C24" s="287" t="s">
        <v>354</v>
      </c>
      <c r="D24" s="288" t="s">
        <v>333</v>
      </c>
      <c r="E24" s="284">
        <v>125</v>
      </c>
      <c r="F24" s="284">
        <v>125</v>
      </c>
      <c r="G24" s="284">
        <v>125</v>
      </c>
      <c r="H24" s="284">
        <v>147</v>
      </c>
      <c r="I24" s="287">
        <v>147</v>
      </c>
    </row>
    <row r="25" spans="1:13" ht="15.75" customHeight="1" x14ac:dyDescent="0.25">
      <c r="A25" s="285" t="s">
        <v>538</v>
      </c>
      <c r="B25" s="286"/>
      <c r="C25" s="287" t="s">
        <v>355</v>
      </c>
      <c r="D25" s="288" t="s">
        <v>333</v>
      </c>
      <c r="E25" s="284">
        <v>54</v>
      </c>
      <c r="F25" s="284">
        <v>54</v>
      </c>
      <c r="G25" s="284">
        <v>54</v>
      </c>
      <c r="H25" s="284">
        <v>54</v>
      </c>
      <c r="I25" s="287">
        <v>54</v>
      </c>
    </row>
    <row r="26" spans="1:13" ht="13.5" customHeight="1" x14ac:dyDescent="0.25">
      <c r="A26" s="285" t="s">
        <v>540</v>
      </c>
      <c r="B26" s="286" t="s">
        <v>356</v>
      </c>
      <c r="C26" s="287" t="s">
        <v>357</v>
      </c>
      <c r="D26" s="288" t="s">
        <v>333</v>
      </c>
      <c r="E26" s="284">
        <v>100</v>
      </c>
      <c r="F26" s="284">
        <v>100</v>
      </c>
      <c r="G26" s="284">
        <v>100</v>
      </c>
      <c r="H26" s="284">
        <v>100</v>
      </c>
      <c r="I26" s="287">
        <v>100</v>
      </c>
    </row>
    <row r="27" spans="1:13" ht="13.5" customHeight="1" x14ac:dyDescent="0.25">
      <c r="A27" s="285" t="s">
        <v>541</v>
      </c>
      <c r="B27" s="286" t="s">
        <v>358</v>
      </c>
      <c r="C27" s="287" t="s">
        <v>359</v>
      </c>
      <c r="D27" s="288" t="s">
        <v>333</v>
      </c>
      <c r="E27" s="284">
        <v>1575</v>
      </c>
      <c r="F27" s="284">
        <v>1575</v>
      </c>
      <c r="G27" s="284">
        <v>1575</v>
      </c>
      <c r="H27" s="284">
        <v>1575</v>
      </c>
      <c r="I27" s="287">
        <v>1575</v>
      </c>
    </row>
    <row r="28" spans="1:13" ht="13.5" customHeight="1" x14ac:dyDescent="0.25">
      <c r="A28" s="285" t="s">
        <v>542</v>
      </c>
      <c r="B28" s="286" t="s">
        <v>360</v>
      </c>
      <c r="C28" s="287" t="s">
        <v>361</v>
      </c>
      <c r="D28" s="288" t="s">
        <v>333</v>
      </c>
      <c r="E28" s="284">
        <v>60</v>
      </c>
      <c r="F28" s="284">
        <v>60</v>
      </c>
      <c r="G28" s="284">
        <v>60</v>
      </c>
      <c r="H28" s="284">
        <v>60</v>
      </c>
      <c r="I28" s="287">
        <v>60</v>
      </c>
    </row>
    <row r="29" spans="1:13" ht="13.5" customHeight="1" x14ac:dyDescent="0.25">
      <c r="A29" s="285" t="s">
        <v>543</v>
      </c>
      <c r="B29" s="286" t="s">
        <v>362</v>
      </c>
      <c r="C29" s="287" t="s">
        <v>363</v>
      </c>
      <c r="D29" s="276" t="s">
        <v>333</v>
      </c>
      <c r="E29" s="284">
        <v>2900</v>
      </c>
      <c r="F29" s="284">
        <v>2900</v>
      </c>
      <c r="G29" s="284">
        <v>2900</v>
      </c>
      <c r="H29" s="284">
        <v>2000</v>
      </c>
      <c r="I29" s="287">
        <v>2000</v>
      </c>
    </row>
    <row r="30" spans="1:13" ht="18" customHeight="1" x14ac:dyDescent="0.25">
      <c r="A30" s="285" t="s">
        <v>544</v>
      </c>
      <c r="B30" s="289" t="s">
        <v>364</v>
      </c>
      <c r="C30" s="290" t="s">
        <v>365</v>
      </c>
      <c r="D30" s="291" t="s">
        <v>333</v>
      </c>
      <c r="E30" s="292">
        <v>383</v>
      </c>
      <c r="F30" s="292">
        <v>383</v>
      </c>
      <c r="G30" s="292">
        <v>383</v>
      </c>
      <c r="H30" s="292">
        <v>250</v>
      </c>
      <c r="I30" s="287">
        <v>250</v>
      </c>
    </row>
    <row r="31" spans="1:13" ht="18" customHeight="1" x14ac:dyDescent="0.25">
      <c r="A31" s="285" t="s">
        <v>545</v>
      </c>
      <c r="B31" s="289"/>
      <c r="C31" s="290" t="s">
        <v>109</v>
      </c>
      <c r="D31" s="291"/>
      <c r="E31" s="292"/>
      <c r="F31" s="292"/>
      <c r="G31" s="292"/>
      <c r="H31" s="292">
        <v>2980</v>
      </c>
      <c r="I31" s="287">
        <v>2980</v>
      </c>
    </row>
    <row r="32" spans="1:13" ht="18" customHeight="1" x14ac:dyDescent="0.25">
      <c r="A32" s="285" t="s">
        <v>546</v>
      </c>
      <c r="B32" s="289" t="s">
        <v>110</v>
      </c>
      <c r="C32" s="290" t="s">
        <v>111</v>
      </c>
      <c r="D32" s="291" t="s">
        <v>333</v>
      </c>
      <c r="E32" s="292"/>
      <c r="F32" s="292"/>
      <c r="G32" s="292">
        <v>248</v>
      </c>
      <c r="H32" s="292">
        <v>248</v>
      </c>
      <c r="I32" s="287">
        <v>248</v>
      </c>
    </row>
    <row r="33" spans="1:13" ht="15.75" x14ac:dyDescent="0.25">
      <c r="A33" s="285" t="s">
        <v>547</v>
      </c>
      <c r="B33" s="287" t="s">
        <v>366</v>
      </c>
      <c r="C33" s="287" t="s">
        <v>367</v>
      </c>
      <c r="D33" s="276" t="s">
        <v>368</v>
      </c>
      <c r="E33" s="287">
        <v>1936</v>
      </c>
      <c r="F33" s="287">
        <v>1718</v>
      </c>
      <c r="G33" s="287">
        <v>1718</v>
      </c>
      <c r="H33" s="287">
        <v>1650</v>
      </c>
      <c r="I33" s="287">
        <v>1650</v>
      </c>
    </row>
    <row r="34" spans="1:13" ht="17.25" customHeight="1" x14ac:dyDescent="0.25">
      <c r="A34" s="285" t="s">
        <v>567</v>
      </c>
      <c r="B34" s="286" t="s">
        <v>369</v>
      </c>
      <c r="C34" s="287" t="s">
        <v>370</v>
      </c>
      <c r="D34" s="276" t="s">
        <v>333</v>
      </c>
      <c r="E34" s="284">
        <v>2500</v>
      </c>
      <c r="F34" s="284">
        <v>2500</v>
      </c>
      <c r="G34" s="284">
        <v>2500</v>
      </c>
      <c r="H34" s="284">
        <v>2500</v>
      </c>
      <c r="I34" s="287">
        <v>2500</v>
      </c>
    </row>
    <row r="35" spans="1:13" ht="20.25" customHeight="1" x14ac:dyDescent="0.25">
      <c r="A35" s="285" t="s">
        <v>568</v>
      </c>
      <c r="B35" s="286" t="s">
        <v>371</v>
      </c>
      <c r="C35" s="287" t="s">
        <v>372</v>
      </c>
      <c r="D35" s="288">
        <v>42124</v>
      </c>
      <c r="E35" s="284">
        <v>1250</v>
      </c>
      <c r="F35" s="284">
        <v>1250</v>
      </c>
      <c r="G35" s="300">
        <v>1250</v>
      </c>
      <c r="H35" s="300">
        <v>312</v>
      </c>
    </row>
    <row r="36" spans="1:13" ht="13.5" customHeight="1" x14ac:dyDescent="0.25">
      <c r="A36" s="285" t="s">
        <v>569</v>
      </c>
      <c r="B36" s="286"/>
      <c r="C36" s="287" t="s">
        <v>373</v>
      </c>
      <c r="D36" s="276" t="s">
        <v>333</v>
      </c>
      <c r="E36" s="284">
        <v>200</v>
      </c>
      <c r="F36" s="284">
        <v>200</v>
      </c>
      <c r="G36" s="284">
        <v>258</v>
      </c>
      <c r="H36" s="284">
        <v>258</v>
      </c>
      <c r="I36" s="287">
        <v>258</v>
      </c>
    </row>
    <row r="37" spans="1:13" ht="13.5" customHeight="1" x14ac:dyDescent="0.25">
      <c r="A37" s="285" t="s">
        <v>570</v>
      </c>
      <c r="B37" s="286" t="s">
        <v>374</v>
      </c>
      <c r="C37" s="287" t="s">
        <v>375</v>
      </c>
      <c r="D37" s="276" t="s">
        <v>333</v>
      </c>
      <c r="E37" s="284">
        <v>994</v>
      </c>
      <c r="F37" s="284">
        <v>994</v>
      </c>
      <c r="G37" s="284">
        <v>994</v>
      </c>
      <c r="H37" s="284">
        <v>994</v>
      </c>
      <c r="I37" s="287">
        <v>971</v>
      </c>
    </row>
    <row r="38" spans="1:13" ht="13.5" customHeight="1" x14ac:dyDescent="0.25">
      <c r="A38" s="285" t="s">
        <v>571</v>
      </c>
      <c r="B38" s="286" t="s">
        <v>112</v>
      </c>
      <c r="C38" s="287" t="s">
        <v>113</v>
      </c>
      <c r="D38" s="276" t="s">
        <v>333</v>
      </c>
      <c r="E38" s="284">
        <v>750</v>
      </c>
      <c r="F38" s="284">
        <v>750</v>
      </c>
      <c r="G38" s="284">
        <v>762</v>
      </c>
      <c r="H38" s="284">
        <v>762</v>
      </c>
      <c r="I38" s="287">
        <v>762</v>
      </c>
    </row>
    <row r="39" spans="1:13" ht="15.75" x14ac:dyDescent="0.25">
      <c r="A39" s="285" t="s">
        <v>572</v>
      </c>
      <c r="B39" s="286" t="s">
        <v>376</v>
      </c>
      <c r="C39" s="287" t="s">
        <v>377</v>
      </c>
      <c r="D39" s="288" t="s">
        <v>333</v>
      </c>
      <c r="E39" s="276">
        <v>330</v>
      </c>
      <c r="F39" s="287">
        <v>330</v>
      </c>
      <c r="G39" s="287">
        <v>330</v>
      </c>
      <c r="H39" s="287">
        <v>330</v>
      </c>
      <c r="I39" s="287">
        <v>330</v>
      </c>
      <c r="K39" s="301"/>
      <c r="M39" s="279"/>
    </row>
    <row r="40" spans="1:13" ht="15.75" x14ac:dyDescent="0.25">
      <c r="A40" s="285" t="s">
        <v>573</v>
      </c>
      <c r="B40" s="286" t="s">
        <v>378</v>
      </c>
      <c r="C40" s="287" t="s">
        <v>379</v>
      </c>
      <c r="D40" s="288" t="s">
        <v>333</v>
      </c>
      <c r="E40" s="276">
        <v>930</v>
      </c>
      <c r="F40" s="287">
        <v>930</v>
      </c>
      <c r="G40" s="287">
        <v>930</v>
      </c>
      <c r="H40" s="287">
        <v>930</v>
      </c>
      <c r="I40" s="287">
        <v>930</v>
      </c>
      <c r="K40" s="301"/>
      <c r="M40" s="279"/>
    </row>
    <row r="41" spans="1:13" ht="15.75" x14ac:dyDescent="0.25">
      <c r="A41" s="285" t="s">
        <v>574</v>
      </c>
      <c r="B41" s="286" t="s">
        <v>114</v>
      </c>
      <c r="C41" s="287" t="s">
        <v>115</v>
      </c>
      <c r="D41" s="288" t="s">
        <v>333</v>
      </c>
      <c r="E41" s="276"/>
      <c r="G41" s="287">
        <v>823</v>
      </c>
      <c r="H41" s="287">
        <v>823</v>
      </c>
      <c r="I41" s="287">
        <v>823</v>
      </c>
      <c r="K41" s="301"/>
      <c r="M41" s="279"/>
    </row>
    <row r="42" spans="1:13" ht="14.1" customHeight="1" x14ac:dyDescent="0.25">
      <c r="A42" s="285" t="s">
        <v>575</v>
      </c>
      <c r="B42" s="287" t="s">
        <v>380</v>
      </c>
      <c r="C42" s="287" t="s">
        <v>381</v>
      </c>
      <c r="D42" s="276" t="s">
        <v>333</v>
      </c>
      <c r="E42" s="287">
        <v>16</v>
      </c>
      <c r="F42" s="287">
        <v>16</v>
      </c>
      <c r="G42" s="287">
        <v>16</v>
      </c>
      <c r="H42" s="287">
        <v>16</v>
      </c>
      <c r="I42" s="287">
        <v>16</v>
      </c>
    </row>
    <row r="43" spans="1:13" s="280" customFormat="1" ht="30" x14ac:dyDescent="0.25">
      <c r="A43" s="285" t="s">
        <v>627</v>
      </c>
      <c r="B43" s="293" t="s">
        <v>382</v>
      </c>
      <c r="C43" s="302" t="s">
        <v>383</v>
      </c>
      <c r="D43" s="295" t="s">
        <v>333</v>
      </c>
      <c r="E43" s="303">
        <v>40</v>
      </c>
      <c r="F43" s="303">
        <v>40</v>
      </c>
      <c r="G43" s="303">
        <v>40</v>
      </c>
      <c r="H43" s="303">
        <v>40</v>
      </c>
      <c r="I43" s="297">
        <v>40</v>
      </c>
      <c r="J43" s="304"/>
      <c r="K43" s="305"/>
      <c r="M43" s="281"/>
    </row>
    <row r="44" spans="1:13" s="280" customFormat="1" ht="18" customHeight="1" x14ac:dyDescent="0.25">
      <c r="A44" s="285" t="s">
        <v>628</v>
      </c>
      <c r="B44" s="293" t="s">
        <v>384</v>
      </c>
      <c r="C44" s="302" t="s">
        <v>385</v>
      </c>
      <c r="D44" s="295" t="s">
        <v>333</v>
      </c>
      <c r="E44" s="303">
        <v>994</v>
      </c>
      <c r="F44" s="303">
        <v>994</v>
      </c>
      <c r="G44" s="303">
        <v>994</v>
      </c>
      <c r="H44" s="297">
        <v>994</v>
      </c>
      <c r="I44" s="297">
        <v>994</v>
      </c>
      <c r="J44" s="304"/>
      <c r="K44" s="305"/>
      <c r="M44" s="281"/>
    </row>
    <row r="45" spans="1:13" s="280" customFormat="1" ht="15.75" x14ac:dyDescent="0.25">
      <c r="A45" s="285" t="s">
        <v>629</v>
      </c>
      <c r="B45" s="293" t="s">
        <v>386</v>
      </c>
      <c r="C45" s="302" t="s">
        <v>387</v>
      </c>
      <c r="D45" s="295" t="s">
        <v>333</v>
      </c>
      <c r="E45" s="303">
        <v>176</v>
      </c>
      <c r="F45" s="303">
        <v>176</v>
      </c>
      <c r="G45" s="303">
        <v>176</v>
      </c>
      <c r="H45" s="297">
        <v>176</v>
      </c>
      <c r="I45" s="297">
        <v>176</v>
      </c>
      <c r="J45" s="304"/>
      <c r="K45" s="305"/>
      <c r="M45" s="281"/>
    </row>
    <row r="46" spans="1:13" ht="13.5" customHeight="1" x14ac:dyDescent="0.25">
      <c r="A46" s="285" t="s">
        <v>630</v>
      </c>
      <c r="B46" s="289" t="s">
        <v>388</v>
      </c>
      <c r="C46" s="290" t="s">
        <v>389</v>
      </c>
      <c r="D46" s="291" t="s">
        <v>333</v>
      </c>
      <c r="E46" s="292">
        <v>199</v>
      </c>
      <c r="F46" s="292">
        <v>199</v>
      </c>
      <c r="G46" s="285">
        <v>199</v>
      </c>
      <c r="H46" s="292">
        <v>199</v>
      </c>
      <c r="I46" s="287">
        <v>199</v>
      </c>
    </row>
    <row r="47" spans="1:13" ht="13.5" customHeight="1" x14ac:dyDescent="0.25">
      <c r="A47" s="285" t="s">
        <v>116</v>
      </c>
      <c r="B47" s="289" t="s">
        <v>390</v>
      </c>
      <c r="C47" s="290" t="s">
        <v>391</v>
      </c>
      <c r="D47" s="291" t="s">
        <v>333</v>
      </c>
      <c r="E47" s="292">
        <v>1863</v>
      </c>
      <c r="F47" s="292">
        <v>1863</v>
      </c>
      <c r="G47" s="292">
        <v>1863</v>
      </c>
      <c r="H47" s="292">
        <v>1863</v>
      </c>
      <c r="I47" s="287">
        <v>1900</v>
      </c>
    </row>
    <row r="48" spans="1:13" ht="13.5" customHeight="1" x14ac:dyDescent="0.25">
      <c r="A48" s="285" t="s">
        <v>655</v>
      </c>
      <c r="B48" s="289" t="s">
        <v>117</v>
      </c>
      <c r="C48" s="290" t="s">
        <v>118</v>
      </c>
      <c r="D48" s="291" t="s">
        <v>333</v>
      </c>
      <c r="E48" s="292"/>
      <c r="F48" s="292"/>
      <c r="G48" s="292">
        <v>29600</v>
      </c>
      <c r="H48" s="292">
        <v>29600</v>
      </c>
      <c r="I48" s="287">
        <v>29600</v>
      </c>
    </row>
    <row r="49" spans="1:13" s="280" customFormat="1" ht="15.75" x14ac:dyDescent="0.25">
      <c r="A49" s="285" t="s">
        <v>656</v>
      </c>
      <c r="B49" s="293" t="s">
        <v>392</v>
      </c>
      <c r="C49" s="294" t="s">
        <v>393</v>
      </c>
      <c r="D49" s="295" t="s">
        <v>333</v>
      </c>
      <c r="E49" s="296">
        <v>3600</v>
      </c>
      <c r="F49" s="296">
        <v>3600</v>
      </c>
      <c r="G49" s="296">
        <v>3600</v>
      </c>
      <c r="H49" s="296">
        <v>6553</v>
      </c>
      <c r="I49" s="297">
        <v>6553</v>
      </c>
      <c r="J49" s="304"/>
      <c r="K49" s="305"/>
      <c r="M49" s="281"/>
    </row>
    <row r="50" spans="1:13" s="280" customFormat="1" ht="15.75" x14ac:dyDescent="0.25">
      <c r="A50" s="285" t="s">
        <v>119</v>
      </c>
      <c r="B50" s="293" t="s">
        <v>394</v>
      </c>
      <c r="C50" s="294" t="s">
        <v>395</v>
      </c>
      <c r="D50" s="295" t="s">
        <v>333</v>
      </c>
      <c r="E50" s="296">
        <v>123</v>
      </c>
      <c r="F50" s="296">
        <v>123</v>
      </c>
      <c r="G50" s="296">
        <v>123</v>
      </c>
      <c r="H50" s="296">
        <v>123</v>
      </c>
      <c r="I50" s="297">
        <v>123</v>
      </c>
      <c r="J50" s="304"/>
      <c r="K50" s="305"/>
      <c r="M50" s="281"/>
    </row>
    <row r="51" spans="1:13" ht="14.1" customHeight="1" x14ac:dyDescent="0.25">
      <c r="A51" s="285" t="s">
        <v>120</v>
      </c>
      <c r="B51" s="287" t="s">
        <v>396</v>
      </c>
      <c r="C51" s="287" t="s">
        <v>397</v>
      </c>
      <c r="D51" s="276" t="s">
        <v>333</v>
      </c>
      <c r="E51" s="287">
        <v>225</v>
      </c>
      <c r="F51" s="287">
        <v>225</v>
      </c>
      <c r="G51" s="287">
        <v>225</v>
      </c>
      <c r="H51" s="287">
        <v>241</v>
      </c>
      <c r="I51" s="287">
        <v>241</v>
      </c>
    </row>
    <row r="52" spans="1:13" ht="14.1" customHeight="1" x14ac:dyDescent="0.25">
      <c r="A52" s="285" t="s">
        <v>121</v>
      </c>
      <c r="B52" s="287" t="s">
        <v>122</v>
      </c>
      <c r="C52" s="287" t="s">
        <v>123</v>
      </c>
      <c r="D52" s="276" t="s">
        <v>431</v>
      </c>
      <c r="G52" s="287">
        <v>600</v>
      </c>
      <c r="H52" s="287">
        <v>1200</v>
      </c>
      <c r="I52" s="287">
        <v>1200</v>
      </c>
    </row>
    <row r="53" spans="1:13" ht="14.1" customHeight="1" x14ac:dyDescent="0.25">
      <c r="A53" s="285" t="s">
        <v>124</v>
      </c>
      <c r="B53" s="287" t="s">
        <v>125</v>
      </c>
      <c r="C53" s="287" t="s">
        <v>126</v>
      </c>
      <c r="D53" s="276" t="s">
        <v>333</v>
      </c>
      <c r="H53" s="287">
        <v>243</v>
      </c>
      <c r="I53" s="287">
        <v>243</v>
      </c>
    </row>
    <row r="54" spans="1:13" ht="14.1" customHeight="1" x14ac:dyDescent="0.25">
      <c r="A54" s="285" t="s">
        <v>127</v>
      </c>
      <c r="B54" s="287" t="s">
        <v>398</v>
      </c>
      <c r="C54" s="287" t="s">
        <v>399</v>
      </c>
      <c r="D54" s="276" t="s">
        <v>333</v>
      </c>
      <c r="E54" s="287">
        <v>26</v>
      </c>
      <c r="F54" s="287">
        <v>26</v>
      </c>
      <c r="G54" s="287">
        <v>26</v>
      </c>
      <c r="H54" s="287">
        <v>26</v>
      </c>
      <c r="I54" s="287">
        <v>26</v>
      </c>
    </row>
    <row r="55" spans="1:13" s="280" customFormat="1" ht="15.75" x14ac:dyDescent="0.25">
      <c r="A55" s="285" t="s">
        <v>128</v>
      </c>
      <c r="B55" s="293" t="s">
        <v>400</v>
      </c>
      <c r="C55" s="294" t="s">
        <v>401</v>
      </c>
      <c r="D55" s="295" t="s">
        <v>333</v>
      </c>
      <c r="E55" s="296">
        <v>5</v>
      </c>
      <c r="F55" s="296">
        <v>5</v>
      </c>
      <c r="G55" s="296">
        <v>5</v>
      </c>
      <c r="H55" s="297">
        <v>5</v>
      </c>
      <c r="I55" s="297">
        <v>5</v>
      </c>
      <c r="J55" s="304"/>
      <c r="K55" s="305"/>
      <c r="M55" s="281"/>
    </row>
    <row r="56" spans="1:13" s="282" customFormat="1" ht="13.5" customHeight="1" x14ac:dyDescent="0.25">
      <c r="A56" s="285" t="s">
        <v>129</v>
      </c>
      <c r="B56" s="293" t="s">
        <v>402</v>
      </c>
      <c r="C56" s="294" t="s">
        <v>403</v>
      </c>
      <c r="D56" s="295" t="s">
        <v>333</v>
      </c>
      <c r="E56" s="296">
        <v>250</v>
      </c>
      <c r="F56" s="296">
        <v>250</v>
      </c>
      <c r="G56" s="296">
        <v>250</v>
      </c>
      <c r="H56" s="296">
        <v>250</v>
      </c>
      <c r="I56" s="297">
        <v>250</v>
      </c>
      <c r="J56" s="298"/>
      <c r="K56" s="299"/>
      <c r="M56" s="283"/>
    </row>
    <row r="57" spans="1:13" s="282" customFormat="1" ht="13.5" customHeight="1" x14ac:dyDescent="0.25">
      <c r="A57" s="285" t="s">
        <v>130</v>
      </c>
      <c r="B57" s="293" t="s">
        <v>131</v>
      </c>
      <c r="C57" s="294" t="s">
        <v>132</v>
      </c>
      <c r="D57" s="295" t="s">
        <v>431</v>
      </c>
      <c r="E57" s="296"/>
      <c r="F57" s="296"/>
      <c r="G57" s="296">
        <v>2439</v>
      </c>
      <c r="H57" s="296">
        <v>3658</v>
      </c>
      <c r="I57" s="297">
        <v>3658</v>
      </c>
      <c r="J57" s="298"/>
      <c r="K57" s="299"/>
      <c r="M57" s="283"/>
    </row>
    <row r="58" spans="1:13" s="282" customFormat="1" ht="13.5" customHeight="1" x14ac:dyDescent="0.25">
      <c r="A58" s="285" t="s">
        <v>133</v>
      </c>
      <c r="B58" s="293" t="s">
        <v>134</v>
      </c>
      <c r="C58" s="294" t="s">
        <v>135</v>
      </c>
      <c r="D58" s="295" t="s">
        <v>431</v>
      </c>
      <c r="E58" s="296"/>
      <c r="F58" s="296"/>
      <c r="G58" s="296">
        <v>2438</v>
      </c>
      <c r="H58" s="296">
        <v>2438</v>
      </c>
      <c r="I58" s="297">
        <v>2438</v>
      </c>
      <c r="J58" s="298"/>
      <c r="K58" s="299"/>
      <c r="M58" s="283"/>
    </row>
    <row r="59" spans="1:13" s="282" customFormat="1" ht="13.5" customHeight="1" x14ac:dyDescent="0.25">
      <c r="A59" s="285" t="s">
        <v>136</v>
      </c>
      <c r="B59" s="293" t="s">
        <v>137</v>
      </c>
      <c r="C59" s="294" t="s">
        <v>138</v>
      </c>
      <c r="D59" s="295" t="s">
        <v>333</v>
      </c>
      <c r="E59" s="296"/>
      <c r="F59" s="296"/>
      <c r="G59" s="296">
        <v>610</v>
      </c>
      <c r="H59" s="296">
        <v>610</v>
      </c>
      <c r="I59" s="297">
        <v>610</v>
      </c>
      <c r="J59" s="298"/>
      <c r="K59" s="299"/>
      <c r="M59" s="283"/>
    </row>
    <row r="60" spans="1:13" s="282" customFormat="1" ht="13.5" customHeight="1" x14ac:dyDescent="0.25">
      <c r="A60" s="285" t="s">
        <v>139</v>
      </c>
      <c r="B60" s="293" t="s">
        <v>404</v>
      </c>
      <c r="C60" s="294" t="s">
        <v>405</v>
      </c>
      <c r="D60" s="295">
        <v>43496</v>
      </c>
      <c r="E60" s="296">
        <v>2865</v>
      </c>
      <c r="F60" s="296">
        <v>2865</v>
      </c>
      <c r="G60" s="296">
        <v>2865</v>
      </c>
      <c r="H60" s="296">
        <v>2865</v>
      </c>
      <c r="I60" s="297">
        <v>2865</v>
      </c>
      <c r="J60" s="298"/>
      <c r="K60" s="299"/>
      <c r="M60" s="283"/>
    </row>
    <row r="61" spans="1:13" s="282" customFormat="1" ht="13.5" customHeight="1" x14ac:dyDescent="0.25">
      <c r="A61" s="285" t="s">
        <v>140</v>
      </c>
      <c r="B61" s="293" t="s">
        <v>141</v>
      </c>
      <c r="C61" s="294" t="s">
        <v>142</v>
      </c>
      <c r="D61" s="295"/>
      <c r="E61" s="296">
        <v>175</v>
      </c>
      <c r="F61" s="296">
        <v>175</v>
      </c>
      <c r="G61" s="296">
        <v>175</v>
      </c>
      <c r="H61" s="296">
        <v>175</v>
      </c>
      <c r="I61" s="297">
        <v>175</v>
      </c>
      <c r="J61" s="298"/>
      <c r="K61" s="299"/>
      <c r="M61" s="283"/>
    </row>
    <row r="62" spans="1:13" s="282" customFormat="1" ht="13.5" customHeight="1" x14ac:dyDescent="0.25">
      <c r="A62" s="285" t="s">
        <v>143</v>
      </c>
      <c r="B62" s="293" t="s">
        <v>406</v>
      </c>
      <c r="C62" s="294" t="s">
        <v>407</v>
      </c>
      <c r="D62" s="295" t="s">
        <v>333</v>
      </c>
      <c r="E62" s="296">
        <v>217</v>
      </c>
      <c r="F62" s="296">
        <v>217</v>
      </c>
      <c r="G62" s="296">
        <v>217</v>
      </c>
      <c r="H62" s="296">
        <v>217</v>
      </c>
      <c r="I62" s="297">
        <v>217</v>
      </c>
      <c r="J62" s="298"/>
      <c r="K62" s="299"/>
      <c r="M62" s="283"/>
    </row>
    <row r="63" spans="1:13" s="282" customFormat="1" ht="13.5" customHeight="1" x14ac:dyDescent="0.25">
      <c r="A63" s="285" t="s">
        <v>144</v>
      </c>
      <c r="B63" s="286" t="s">
        <v>408</v>
      </c>
      <c r="C63" s="306" t="s">
        <v>409</v>
      </c>
      <c r="D63" s="295" t="s">
        <v>333</v>
      </c>
      <c r="E63" s="315">
        <v>15</v>
      </c>
      <c r="F63" s="315">
        <v>15</v>
      </c>
      <c r="G63" s="296">
        <v>15</v>
      </c>
      <c r="H63" s="296">
        <v>15</v>
      </c>
      <c r="I63" s="297">
        <v>15</v>
      </c>
      <c r="J63" s="298"/>
      <c r="K63" s="299"/>
      <c r="M63" s="283"/>
    </row>
    <row r="64" spans="1:13" s="282" customFormat="1" ht="13.5" customHeight="1" x14ac:dyDescent="0.25">
      <c r="A64" s="285" t="s">
        <v>145</v>
      </c>
      <c r="B64" s="286" t="s">
        <v>408</v>
      </c>
      <c r="C64" s="306" t="s">
        <v>410</v>
      </c>
      <c r="D64" s="295" t="s">
        <v>333</v>
      </c>
      <c r="E64" s="315">
        <v>150</v>
      </c>
      <c r="F64" s="315">
        <v>150</v>
      </c>
      <c r="G64" s="296">
        <v>150</v>
      </c>
      <c r="H64" s="296">
        <v>226</v>
      </c>
      <c r="I64" s="297">
        <v>226</v>
      </c>
      <c r="J64" s="298"/>
      <c r="K64" s="299"/>
      <c r="M64" s="283"/>
    </row>
    <row r="65" spans="1:13" s="282" customFormat="1" ht="13.5" customHeight="1" x14ac:dyDescent="0.25">
      <c r="A65" s="285" t="s">
        <v>146</v>
      </c>
      <c r="B65" s="286" t="s">
        <v>411</v>
      </c>
      <c r="C65" s="306" t="s">
        <v>412</v>
      </c>
      <c r="D65" s="295" t="s">
        <v>333</v>
      </c>
      <c r="E65" s="315">
        <v>75</v>
      </c>
      <c r="F65" s="315">
        <v>75</v>
      </c>
      <c r="G65" s="296">
        <v>75</v>
      </c>
      <c r="H65" s="296">
        <v>45</v>
      </c>
      <c r="I65" s="297">
        <v>45</v>
      </c>
      <c r="J65" s="298"/>
      <c r="K65" s="299"/>
      <c r="M65" s="283"/>
    </row>
    <row r="66" spans="1:13" s="282" customFormat="1" ht="13.5" customHeight="1" x14ac:dyDescent="0.25">
      <c r="A66" s="285" t="s">
        <v>147</v>
      </c>
      <c r="B66" s="293"/>
      <c r="C66" s="294" t="s">
        <v>148</v>
      </c>
      <c r="D66" s="295" t="s">
        <v>431</v>
      </c>
      <c r="E66" s="296"/>
      <c r="F66" s="296"/>
      <c r="G66" s="296">
        <v>347</v>
      </c>
      <c r="H66" s="296">
        <v>347</v>
      </c>
      <c r="I66" s="297">
        <v>347</v>
      </c>
      <c r="J66" s="298"/>
      <c r="K66" s="299"/>
      <c r="M66" s="283"/>
    </row>
    <row r="67" spans="1:13" s="282" customFormat="1" ht="13.5" customHeight="1" x14ac:dyDescent="0.25">
      <c r="A67" s="285" t="s">
        <v>149</v>
      </c>
      <c r="B67" s="293" t="s">
        <v>150</v>
      </c>
      <c r="C67" s="294" t="s">
        <v>151</v>
      </c>
      <c r="D67" s="295" t="s">
        <v>431</v>
      </c>
      <c r="E67" s="296"/>
      <c r="F67" s="296"/>
      <c r="G67" s="296">
        <v>54</v>
      </c>
      <c r="H67" s="296">
        <v>216</v>
      </c>
      <c r="I67" s="297">
        <v>216</v>
      </c>
      <c r="J67" s="298"/>
      <c r="K67" s="299"/>
      <c r="M67" s="283"/>
    </row>
    <row r="68" spans="1:13" s="282" customFormat="1" ht="13.5" customHeight="1" x14ac:dyDescent="0.25">
      <c r="A68" s="285" t="s">
        <v>152</v>
      </c>
      <c r="B68" s="293"/>
      <c r="C68" s="294" t="s">
        <v>153</v>
      </c>
      <c r="D68" s="295" t="s">
        <v>431</v>
      </c>
      <c r="E68" s="296"/>
      <c r="F68" s="296"/>
      <c r="G68" s="296">
        <v>380</v>
      </c>
      <c r="H68" s="296">
        <v>380</v>
      </c>
      <c r="I68" s="297">
        <v>380</v>
      </c>
      <c r="J68" s="298"/>
      <c r="K68" s="299"/>
      <c r="M68" s="283"/>
    </row>
    <row r="69" spans="1:13" s="282" customFormat="1" ht="13.5" customHeight="1" x14ac:dyDescent="0.25">
      <c r="A69" s="285" t="s">
        <v>154</v>
      </c>
      <c r="B69" s="293" t="s">
        <v>413</v>
      </c>
      <c r="C69" s="294" t="s">
        <v>414</v>
      </c>
      <c r="D69" s="295" t="s">
        <v>333</v>
      </c>
      <c r="E69" s="296">
        <v>1800</v>
      </c>
      <c r="F69" s="296">
        <v>1800</v>
      </c>
      <c r="G69" s="296">
        <v>1800</v>
      </c>
      <c r="H69" s="296">
        <v>1500</v>
      </c>
      <c r="I69" s="297">
        <v>1500</v>
      </c>
      <c r="J69" s="298"/>
      <c r="K69" s="299"/>
      <c r="M69" s="283"/>
    </row>
    <row r="70" spans="1:13" s="282" customFormat="1" ht="13.5" customHeight="1" x14ac:dyDescent="0.25">
      <c r="A70" s="285" t="s">
        <v>155</v>
      </c>
      <c r="B70" s="293" t="s">
        <v>415</v>
      </c>
      <c r="C70" s="294" t="s">
        <v>416</v>
      </c>
      <c r="D70" s="295" t="s">
        <v>333</v>
      </c>
      <c r="E70" s="296">
        <v>1875</v>
      </c>
      <c r="F70" s="296">
        <v>2000</v>
      </c>
      <c r="G70" s="296">
        <v>2000</v>
      </c>
      <c r="H70" s="296">
        <v>1700</v>
      </c>
      <c r="I70" s="297">
        <v>1700</v>
      </c>
      <c r="J70" s="298"/>
      <c r="K70" s="299"/>
      <c r="M70" s="283"/>
    </row>
    <row r="71" spans="1:13" ht="13.5" customHeight="1" x14ac:dyDescent="0.25">
      <c r="A71" s="285" t="s">
        <v>156</v>
      </c>
      <c r="B71" s="1688" t="s">
        <v>417</v>
      </c>
      <c r="C71" s="1688"/>
      <c r="E71" s="325">
        <f>SUM(E12:E70)</f>
        <v>127862</v>
      </c>
      <c r="F71" s="325">
        <f>SUM(F12:F70)</f>
        <v>115727</v>
      </c>
      <c r="G71" s="325">
        <f>SUM(G12:G70)</f>
        <v>108085</v>
      </c>
      <c r="H71" s="325">
        <f>SUM(H12:H70)</f>
        <v>165363</v>
      </c>
      <c r="I71" s="325">
        <f>SUM(I12:I70)</f>
        <v>164803</v>
      </c>
    </row>
    <row r="72" spans="1:13" ht="9.75" customHeight="1" x14ac:dyDescent="0.25">
      <c r="A72" s="285"/>
      <c r="B72" s="273"/>
      <c r="C72" s="286"/>
      <c r="E72" s="284"/>
      <c r="F72" s="284"/>
      <c r="G72" s="284"/>
      <c r="H72" s="284"/>
    </row>
    <row r="73" spans="1:13" ht="6.75" customHeight="1" x14ac:dyDescent="0.25">
      <c r="E73" s="284"/>
      <c r="F73" s="284"/>
      <c r="G73" s="284"/>
      <c r="H73" s="284"/>
    </row>
    <row r="74" spans="1:13" ht="13.5" customHeight="1" x14ac:dyDescent="0.25">
      <c r="E74" s="284"/>
      <c r="F74" s="284"/>
      <c r="G74" s="284"/>
      <c r="H74" s="284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4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2:D30"/>
  <sheetViews>
    <sheetView workbookViewId="0">
      <selection activeCell="B2" sqref="B2:C2"/>
    </sheetView>
  </sheetViews>
  <sheetFormatPr defaultColWidth="9.140625" defaultRowHeight="20.100000000000001" customHeight="1" x14ac:dyDescent="0.25"/>
  <cols>
    <col min="1" max="1" width="5.5703125" style="260" customWidth="1"/>
    <col min="2" max="2" width="71.7109375" style="260" customWidth="1"/>
    <col min="3" max="3" width="13.5703125" style="260" customWidth="1"/>
    <col min="4" max="4" width="9.140625" style="248"/>
    <col min="5" max="16384" width="9.140625" style="249"/>
  </cols>
  <sheetData>
    <row r="2" spans="1:4" ht="32.25" customHeight="1" x14ac:dyDescent="0.25">
      <c r="A2" s="249"/>
      <c r="B2" s="1696" t="s">
        <v>1336</v>
      </c>
      <c r="C2" s="1696"/>
    </row>
    <row r="3" spans="1:4" ht="20.100000000000001" customHeight="1" x14ac:dyDescent="0.25">
      <c r="A3" s="249"/>
      <c r="B3" s="329"/>
      <c r="C3" s="329"/>
    </row>
    <row r="4" spans="1:4" ht="20.100000000000001" customHeight="1" x14ac:dyDescent="0.25">
      <c r="A4" s="249"/>
      <c r="B4" s="1698" t="s">
        <v>77</v>
      </c>
      <c r="C4" s="1698"/>
    </row>
    <row r="5" spans="1:4" ht="20.100000000000001" customHeight="1" x14ac:dyDescent="0.25">
      <c r="A5" s="249"/>
      <c r="B5" s="1698" t="s">
        <v>1182</v>
      </c>
      <c r="C5" s="1698"/>
    </row>
    <row r="6" spans="1:4" ht="20.100000000000001" customHeight="1" x14ac:dyDescent="0.25">
      <c r="A6" s="249"/>
      <c r="B6" s="1698" t="s">
        <v>1293</v>
      </c>
      <c r="C6" s="1698"/>
    </row>
    <row r="7" spans="1:4" s="251" customFormat="1" ht="20.100000000000001" customHeight="1" x14ac:dyDescent="0.25">
      <c r="B7" s="1698"/>
      <c r="C7" s="1698"/>
      <c r="D7" s="250"/>
    </row>
    <row r="8" spans="1:4" s="251" customFormat="1" ht="20.100000000000001" customHeight="1" x14ac:dyDescent="0.25">
      <c r="B8" s="330"/>
      <c r="C8" s="330"/>
      <c r="D8" s="250"/>
    </row>
    <row r="9" spans="1:4" s="253" customFormat="1" ht="20.100000000000001" customHeight="1" x14ac:dyDescent="0.25">
      <c r="B9" s="331"/>
      <c r="C9" s="332" t="s">
        <v>315</v>
      </c>
      <c r="D9" s="252"/>
    </row>
    <row r="10" spans="1:4" ht="20.100000000000001" customHeight="1" x14ac:dyDescent="0.25">
      <c r="A10" s="1697"/>
      <c r="B10" s="333" t="s">
        <v>57</v>
      </c>
      <c r="C10" s="333" t="s">
        <v>58</v>
      </c>
    </row>
    <row r="11" spans="1:4" s="253" customFormat="1" ht="30.75" customHeight="1" x14ac:dyDescent="0.25">
      <c r="A11" s="1697"/>
      <c r="B11" s="334" t="s">
        <v>85</v>
      </c>
      <c r="C11" s="334" t="s">
        <v>418</v>
      </c>
      <c r="D11" s="252"/>
    </row>
    <row r="12" spans="1:4" ht="22.5" customHeight="1" x14ac:dyDescent="0.25">
      <c r="A12" s="335"/>
      <c r="B12" s="251" t="s">
        <v>1294</v>
      </c>
      <c r="C12" s="249"/>
    </row>
    <row r="13" spans="1:4" ht="69" customHeight="1" x14ac:dyDescent="0.25">
      <c r="A13" s="336" t="s">
        <v>480</v>
      </c>
      <c r="B13" s="733" t="s">
        <v>1325</v>
      </c>
      <c r="C13" s="524">
        <v>178673</v>
      </c>
    </row>
    <row r="14" spans="1:4" ht="20.100000000000001" customHeight="1" x14ac:dyDescent="0.25">
      <c r="A14" s="335"/>
      <c r="B14" s="249"/>
      <c r="C14" s="525"/>
    </row>
    <row r="15" spans="1:4" ht="35.25" customHeight="1" x14ac:dyDescent="0.25">
      <c r="A15" s="336" t="s">
        <v>488</v>
      </c>
      <c r="B15" s="337" t="s">
        <v>1323</v>
      </c>
      <c r="C15" s="524">
        <v>328</v>
      </c>
    </row>
    <row r="16" spans="1:4" ht="29.25" customHeight="1" x14ac:dyDescent="0.25">
      <c r="A16" s="335"/>
      <c r="B16" s="337" t="s">
        <v>1324</v>
      </c>
      <c r="C16" s="525">
        <v>1072</v>
      </c>
    </row>
    <row r="17" spans="1:4" ht="19.5" customHeight="1" x14ac:dyDescent="0.25">
      <c r="A17" s="335"/>
      <c r="B17" s="337"/>
      <c r="C17" s="525"/>
    </row>
    <row r="18" spans="1:4" ht="36" customHeight="1" x14ac:dyDescent="0.25">
      <c r="A18" s="336" t="s">
        <v>489</v>
      </c>
      <c r="B18" s="337" t="s">
        <v>1300</v>
      </c>
      <c r="C18" s="526">
        <v>0</v>
      </c>
    </row>
    <row r="19" spans="1:4" ht="20.100000000000001" customHeight="1" x14ac:dyDescent="0.25">
      <c r="A19" s="335"/>
      <c r="B19" s="338"/>
      <c r="C19" s="525"/>
    </row>
    <row r="20" spans="1:4" s="251" customFormat="1" ht="20.100000000000001" customHeight="1" x14ac:dyDescent="0.25">
      <c r="A20" s="335" t="s">
        <v>490</v>
      </c>
      <c r="B20" s="251" t="s">
        <v>1298</v>
      </c>
      <c r="C20" s="527">
        <f>SUM(C13:C19)</f>
        <v>180073</v>
      </c>
      <c r="D20" s="250"/>
    </row>
    <row r="21" spans="1:4" ht="20.100000000000001" customHeight="1" x14ac:dyDescent="0.25">
      <c r="A21" s="249"/>
      <c r="B21" s="249"/>
      <c r="C21" s="525"/>
    </row>
    <row r="22" spans="1:4" ht="20.100000000000001" customHeight="1" x14ac:dyDescent="0.25">
      <c r="C22" s="261"/>
    </row>
    <row r="23" spans="1:4" ht="20.100000000000001" customHeight="1" x14ac:dyDescent="0.25">
      <c r="B23" s="251" t="s">
        <v>1292</v>
      </c>
      <c r="C23" s="525"/>
    </row>
    <row r="24" spans="1:4" ht="20.100000000000001" customHeight="1" x14ac:dyDescent="0.25">
      <c r="B24" s="249" t="s">
        <v>1296</v>
      </c>
      <c r="C24" s="525">
        <v>1031</v>
      </c>
    </row>
    <row r="25" spans="1:4" ht="20.100000000000001" customHeight="1" x14ac:dyDescent="0.25">
      <c r="B25" s="249"/>
      <c r="C25" s="525"/>
    </row>
    <row r="26" spans="1:4" ht="33" customHeight="1" x14ac:dyDescent="0.25">
      <c r="B26" s="337" t="s">
        <v>1295</v>
      </c>
      <c r="C26" s="249">
        <v>1707</v>
      </c>
    </row>
    <row r="27" spans="1:4" ht="33" customHeight="1" x14ac:dyDescent="0.25">
      <c r="B27" s="337"/>
      <c r="C27" s="249"/>
    </row>
    <row r="28" spans="1:4" ht="20.100000000000001" customHeight="1" x14ac:dyDescent="0.25">
      <c r="B28" s="251" t="s">
        <v>1297</v>
      </c>
      <c r="C28" s="527">
        <f>SUM(C24:C26)</f>
        <v>2738</v>
      </c>
    </row>
    <row r="29" spans="1:4" ht="20.100000000000001" customHeight="1" x14ac:dyDescent="0.25">
      <c r="B29" s="249"/>
      <c r="C29" s="249"/>
    </row>
    <row r="30" spans="1:4" ht="20.100000000000001" customHeight="1" x14ac:dyDescent="0.25">
      <c r="B30" s="251" t="s">
        <v>1299</v>
      </c>
      <c r="C30" s="527">
        <f>C20+C28</f>
        <v>182811</v>
      </c>
    </row>
  </sheetData>
  <mergeCells count="6">
    <mergeCell ref="B2:C2"/>
    <mergeCell ref="A10:A11"/>
    <mergeCell ref="B4:C4"/>
    <mergeCell ref="B5:C5"/>
    <mergeCell ref="B6:C6"/>
    <mergeCell ref="B7:C7"/>
  </mergeCells>
  <phoneticPr fontId="94" type="noConversion"/>
  <pageMargins left="0.59055118110236227" right="0.59055118110236227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15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254" customWidth="1"/>
    <col min="2" max="2" width="29.28515625" style="254" customWidth="1"/>
    <col min="3" max="3" width="16.85546875" style="254" bestFit="1" customWidth="1"/>
    <col min="4" max="4" width="15.5703125" style="254" customWidth="1"/>
    <col min="5" max="5" width="9.85546875" style="254" bestFit="1" customWidth="1"/>
    <col min="6" max="6" width="12.85546875" style="254" customWidth="1"/>
    <col min="7" max="8" width="14.5703125" style="254" customWidth="1"/>
    <col min="9" max="9" width="10.7109375" style="254" customWidth="1"/>
    <col min="10" max="10" width="10.5703125" style="254" customWidth="1"/>
    <col min="11" max="11" width="10.28515625" style="254" customWidth="1"/>
    <col min="12" max="12" width="10.28515625" style="254"/>
    <col min="13" max="16384" width="10.28515625" style="259"/>
  </cols>
  <sheetData>
    <row r="1" spans="1:12" s="254" customFormat="1" x14ac:dyDescent="0.2">
      <c r="A1" s="1699" t="s">
        <v>1283</v>
      </c>
      <c r="B1" s="1699"/>
      <c r="C1" s="1699"/>
      <c r="D1" s="1699"/>
      <c r="E1" s="1699"/>
      <c r="F1" s="1699"/>
      <c r="G1" s="1699"/>
      <c r="H1" s="1699"/>
      <c r="I1" s="1699"/>
      <c r="J1" s="1699"/>
    </row>
    <row r="2" spans="1:12" s="254" customFormat="1" ht="14.1" customHeight="1" x14ac:dyDescent="0.2"/>
    <row r="3" spans="1:12" s="254" customFormat="1" ht="15" customHeight="1" x14ac:dyDescent="0.25">
      <c r="B3" s="1701" t="s">
        <v>77</v>
      </c>
      <c r="C3" s="1701"/>
      <c r="D3" s="1701"/>
      <c r="E3" s="1701"/>
      <c r="F3" s="1701"/>
      <c r="G3" s="1701"/>
      <c r="H3" s="1701"/>
      <c r="I3" s="1701"/>
      <c r="J3" s="1701"/>
    </row>
    <row r="4" spans="1:12" s="254" customFormat="1" ht="15" customHeight="1" x14ac:dyDescent="0.25">
      <c r="B4" s="1701" t="s">
        <v>1182</v>
      </c>
      <c r="C4" s="1701"/>
      <c r="D4" s="1701"/>
      <c r="E4" s="1701"/>
      <c r="F4" s="1701"/>
      <c r="G4" s="1701"/>
      <c r="H4" s="1701"/>
      <c r="I4" s="1701"/>
      <c r="J4" s="1701"/>
    </row>
    <row r="5" spans="1:12" s="254" customFormat="1" ht="15" customHeight="1" x14ac:dyDescent="0.25">
      <c r="B5" s="1701" t="s">
        <v>419</v>
      </c>
      <c r="C5" s="1701"/>
      <c r="D5" s="1701"/>
      <c r="E5" s="1701"/>
      <c r="F5" s="1701"/>
      <c r="G5" s="1701"/>
      <c r="H5" s="1701"/>
      <c r="I5" s="1701"/>
      <c r="J5" s="1701"/>
    </row>
    <row r="6" spans="1:12" s="254" customFormat="1" ht="15" customHeight="1" x14ac:dyDescent="0.25">
      <c r="B6" s="1701"/>
      <c r="C6" s="1701"/>
      <c r="D6" s="1701"/>
      <c r="E6" s="1701"/>
      <c r="F6" s="1701"/>
      <c r="G6" s="1701"/>
      <c r="H6" s="1701"/>
      <c r="I6" s="1701"/>
      <c r="J6" s="1701"/>
    </row>
    <row r="7" spans="1:12" s="254" customFormat="1" ht="15" customHeight="1" x14ac:dyDescent="0.25">
      <c r="B7" s="1709" t="s">
        <v>315</v>
      </c>
      <c r="C7" s="1709"/>
      <c r="D7" s="1709"/>
      <c r="E7" s="1709"/>
      <c r="F7" s="1709"/>
      <c r="G7" s="1709"/>
      <c r="H7" s="1709"/>
      <c r="I7" s="1709"/>
      <c r="J7" s="1709"/>
    </row>
    <row r="8" spans="1:12" s="255" customFormat="1" ht="14.1" customHeight="1" x14ac:dyDescent="0.25">
      <c r="A8" s="1700"/>
      <c r="B8" s="725" t="s">
        <v>57</v>
      </c>
      <c r="C8" s="725" t="s">
        <v>58</v>
      </c>
      <c r="D8" s="725" t="s">
        <v>59</v>
      </c>
      <c r="E8" s="725" t="s">
        <v>60</v>
      </c>
      <c r="F8" s="725" t="s">
        <v>471</v>
      </c>
      <c r="G8" s="725" t="s">
        <v>472</v>
      </c>
      <c r="H8" s="725" t="s">
        <v>473</v>
      </c>
      <c r="I8" s="725" t="s">
        <v>595</v>
      </c>
      <c r="J8" s="725" t="s">
        <v>603</v>
      </c>
    </row>
    <row r="9" spans="1:12" s="256" customFormat="1" ht="17.25" customHeight="1" x14ac:dyDescent="0.25">
      <c r="A9" s="1700"/>
      <c r="B9" s="1703" t="s">
        <v>85</v>
      </c>
      <c r="C9" s="1705" t="s">
        <v>420</v>
      </c>
      <c r="D9" s="1705" t="s">
        <v>1268</v>
      </c>
      <c r="E9" s="1703" t="s">
        <v>421</v>
      </c>
      <c r="F9" s="1707" t="s">
        <v>422</v>
      </c>
      <c r="G9" s="1703" t="s">
        <v>423</v>
      </c>
      <c r="H9" s="1705" t="s">
        <v>923</v>
      </c>
      <c r="I9" s="1702" t="s">
        <v>424</v>
      </c>
      <c r="J9" s="1702"/>
    </row>
    <row r="10" spans="1:12" s="256" customFormat="1" ht="30" customHeight="1" x14ac:dyDescent="0.25">
      <c r="A10" s="1700"/>
      <c r="B10" s="1704"/>
      <c r="C10" s="1706"/>
      <c r="D10" s="1706"/>
      <c r="E10" s="1704"/>
      <c r="F10" s="1708"/>
      <c r="G10" s="1704"/>
      <c r="H10" s="1706"/>
      <c r="I10" s="725" t="s">
        <v>425</v>
      </c>
      <c r="J10" s="725" t="s">
        <v>426</v>
      </c>
    </row>
    <row r="11" spans="1:12" s="255" customFormat="1" ht="16.5" customHeight="1" x14ac:dyDescent="0.25">
      <c r="A11" s="257" t="s">
        <v>480</v>
      </c>
      <c r="B11" s="262" t="s">
        <v>427</v>
      </c>
    </row>
    <row r="12" spans="1:12" s="255" customFormat="1" ht="15" customHeight="1" x14ac:dyDescent="0.25">
      <c r="A12" s="257" t="s">
        <v>488</v>
      </c>
      <c r="B12" s="255" t="s">
        <v>428</v>
      </c>
      <c r="C12" s="263"/>
      <c r="D12" s="263"/>
      <c r="E12" s="264"/>
      <c r="F12" s="264"/>
      <c r="G12" s="264"/>
      <c r="H12" s="263"/>
      <c r="I12" s="264"/>
      <c r="J12" s="264"/>
    </row>
    <row r="13" spans="1:12" s="255" customFormat="1" ht="15" customHeight="1" x14ac:dyDescent="0.25">
      <c r="A13" s="257" t="s">
        <v>489</v>
      </c>
      <c r="B13" s="265" t="s">
        <v>429</v>
      </c>
      <c r="C13" s="266">
        <v>500</v>
      </c>
      <c r="D13" s="267">
        <v>25</v>
      </c>
      <c r="E13" s="268" t="s">
        <v>430</v>
      </c>
      <c r="F13" s="268" t="s">
        <v>431</v>
      </c>
      <c r="G13" s="268" t="s">
        <v>431</v>
      </c>
      <c r="H13" s="267">
        <v>25</v>
      </c>
      <c r="I13" s="269">
        <v>0</v>
      </c>
      <c r="J13" s="268" t="s">
        <v>432</v>
      </c>
    </row>
    <row r="14" spans="1:12" s="256" customFormat="1" ht="15" customHeight="1" x14ac:dyDescent="0.25">
      <c r="A14" s="257" t="s">
        <v>490</v>
      </c>
      <c r="B14" s="265" t="s">
        <v>433</v>
      </c>
      <c r="C14" s="266">
        <v>28130</v>
      </c>
      <c r="D14" s="266">
        <v>17378</v>
      </c>
      <c r="E14" s="268" t="s">
        <v>430</v>
      </c>
      <c r="F14" s="268" t="s">
        <v>431</v>
      </c>
      <c r="G14" s="268" t="s">
        <v>431</v>
      </c>
      <c r="H14" s="266">
        <v>2758</v>
      </c>
      <c r="I14" s="269">
        <v>0</v>
      </c>
      <c r="J14" s="268" t="s">
        <v>432</v>
      </c>
    </row>
    <row r="15" spans="1:12" s="258" customFormat="1" ht="16.5" customHeight="1" x14ac:dyDescent="0.25">
      <c r="A15" s="257" t="s">
        <v>491</v>
      </c>
      <c r="B15" s="256" t="s">
        <v>434</v>
      </c>
      <c r="C15" s="270">
        <f>SUM(C13:C14)</f>
        <v>28630</v>
      </c>
      <c r="D15" s="270">
        <f>SUM(D13:D14)</f>
        <v>17403</v>
      </c>
      <c r="E15" s="271"/>
      <c r="F15" s="271"/>
      <c r="G15" s="271"/>
      <c r="H15" s="270">
        <f>SUM(H13:H14)</f>
        <v>2783</v>
      </c>
      <c r="I15" s="269"/>
      <c r="J15" s="268" t="s">
        <v>432</v>
      </c>
      <c r="K15" s="255"/>
      <c r="L15" s="255"/>
    </row>
  </sheetData>
  <mergeCells count="15"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4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W97"/>
  <sheetViews>
    <sheetView workbookViewId="0">
      <selection sqref="A1:I1"/>
    </sheetView>
  </sheetViews>
  <sheetFormatPr defaultColWidth="61.7109375" defaultRowHeight="12" x14ac:dyDescent="0.2"/>
  <cols>
    <col min="1" max="1" width="61.7109375" style="129" customWidth="1"/>
    <col min="2" max="2" width="9.85546875" style="129" hidden="1" customWidth="1"/>
    <col min="3" max="3" width="11.7109375" style="129" hidden="1" customWidth="1"/>
    <col min="4" max="4" width="9.85546875" style="129" hidden="1" customWidth="1"/>
    <col min="5" max="5" width="15.85546875" style="133" hidden="1" customWidth="1"/>
    <col min="6" max="6" width="16" style="5" customWidth="1"/>
    <col min="7" max="7" width="12.85546875" style="5" customWidth="1"/>
    <col min="8" max="8" width="10" style="5" bestFit="1" customWidth="1"/>
    <col min="9" max="9" width="11.42578125" style="5" bestFit="1" customWidth="1"/>
    <col min="10" max="10" width="10" style="5" bestFit="1" customWidth="1"/>
    <col min="11" max="12" width="11.42578125" style="5" bestFit="1" customWidth="1"/>
    <col min="13" max="13" width="4.140625" style="5" customWidth="1"/>
    <col min="14" max="14" width="11.140625" style="5" customWidth="1"/>
    <col min="15" max="15" width="10.85546875" style="5" bestFit="1" customWidth="1"/>
    <col min="16" max="16" width="10.85546875" style="5" customWidth="1"/>
    <col min="17" max="17" width="10.42578125" style="5" bestFit="1" customWidth="1"/>
    <col min="18" max="18" width="9.85546875" style="5" bestFit="1" customWidth="1"/>
    <col min="19" max="256" width="8" style="5" customWidth="1"/>
    <col min="257" max="16384" width="61.7109375" style="5"/>
  </cols>
  <sheetData>
    <row r="1" spans="1:257" ht="12.75" x14ac:dyDescent="0.2">
      <c r="A1" s="1441" t="s">
        <v>1278</v>
      </c>
      <c r="B1" s="1441"/>
      <c r="C1" s="1441"/>
      <c r="D1" s="1441"/>
      <c r="E1" s="1441"/>
      <c r="F1" s="1441"/>
      <c r="G1" s="1441"/>
      <c r="H1" s="1441"/>
      <c r="I1" s="1441"/>
      <c r="J1" s="686"/>
      <c r="K1" s="686"/>
      <c r="L1" s="686"/>
      <c r="M1" s="686"/>
      <c r="N1" s="686"/>
      <c r="O1" s="686"/>
      <c r="P1" s="686"/>
      <c r="Q1" s="686"/>
      <c r="R1" s="686"/>
    </row>
    <row r="2" spans="1:257" x14ac:dyDescent="0.2">
      <c r="A2" s="687"/>
      <c r="B2" s="687"/>
      <c r="C2" s="687"/>
      <c r="D2" s="687"/>
      <c r="E2" s="688"/>
      <c r="F2" s="1442"/>
      <c r="G2" s="1442"/>
      <c r="H2" s="1442"/>
      <c r="I2" s="1442"/>
      <c r="J2" s="686"/>
      <c r="K2" s="686"/>
      <c r="L2" s="686"/>
      <c r="M2" s="686"/>
      <c r="N2" s="686"/>
      <c r="O2" s="686"/>
      <c r="P2" s="686"/>
      <c r="Q2" s="686"/>
      <c r="R2" s="686"/>
    </row>
    <row r="3" spans="1:257" ht="30" customHeight="1" x14ac:dyDescent="0.2">
      <c r="A3" s="1443" t="s">
        <v>77</v>
      </c>
      <c r="B3" s="1443"/>
      <c r="C3" s="1443"/>
      <c r="D3" s="1443"/>
      <c r="E3" s="1443"/>
      <c r="F3" s="1444"/>
      <c r="G3" s="1444"/>
      <c r="H3" s="1444"/>
      <c r="I3" s="1444"/>
      <c r="J3" s="686"/>
      <c r="K3" s="686"/>
      <c r="L3" s="686"/>
      <c r="M3" s="686"/>
      <c r="N3" s="686"/>
      <c r="O3" s="686"/>
      <c r="P3" s="686"/>
      <c r="Q3" s="686"/>
      <c r="R3" s="686"/>
    </row>
    <row r="4" spans="1:257" ht="33" customHeight="1" thickBot="1" x14ac:dyDescent="0.25">
      <c r="A4" s="1443" t="s">
        <v>1233</v>
      </c>
      <c r="B4" s="1443"/>
      <c r="C4" s="1443"/>
      <c r="D4" s="1443"/>
      <c r="E4" s="1443"/>
      <c r="F4" s="1444"/>
      <c r="G4" s="1444"/>
      <c r="H4" s="1444"/>
      <c r="I4" s="1444"/>
      <c r="J4" s="686"/>
      <c r="K4" s="686"/>
      <c r="L4" s="686"/>
      <c r="M4" s="686"/>
      <c r="N4" s="686"/>
      <c r="O4" s="686"/>
      <c r="P4" s="686"/>
      <c r="Q4" s="686"/>
      <c r="R4" s="686"/>
    </row>
    <row r="5" spans="1:257" ht="30.75" customHeight="1" thickBot="1" x14ac:dyDescent="0.25">
      <c r="A5" s="1445" t="s">
        <v>78</v>
      </c>
      <c r="B5" s="1447" t="s">
        <v>107</v>
      </c>
      <c r="C5" s="1448"/>
      <c r="D5" s="1448"/>
      <c r="E5" s="1448"/>
      <c r="F5" s="1449" t="s">
        <v>1191</v>
      </c>
      <c r="G5" s="1450"/>
      <c r="H5" s="1450"/>
      <c r="I5" s="1451"/>
      <c r="J5" s="686"/>
      <c r="K5" s="686"/>
      <c r="L5" s="686"/>
      <c r="M5" s="686"/>
      <c r="N5" s="686"/>
      <c r="O5" s="686"/>
      <c r="P5" s="686"/>
      <c r="Q5" s="686"/>
      <c r="R5" s="686"/>
    </row>
    <row r="6" spans="1:257" ht="36.75" thickBot="1" x14ac:dyDescent="0.25">
      <c r="A6" s="1446"/>
      <c r="B6" s="689" t="s">
        <v>79</v>
      </c>
      <c r="C6" s="690" t="s">
        <v>80</v>
      </c>
      <c r="D6" s="690" t="s">
        <v>682</v>
      </c>
      <c r="E6" s="691" t="s">
        <v>81</v>
      </c>
      <c r="F6" s="689" t="s">
        <v>79</v>
      </c>
      <c r="G6" s="690" t="s">
        <v>80</v>
      </c>
      <c r="H6" s="690" t="s">
        <v>682</v>
      </c>
      <c r="I6" s="691" t="s">
        <v>81</v>
      </c>
      <c r="J6" s="692"/>
      <c r="K6" s="692"/>
      <c r="L6" s="692"/>
      <c r="M6" s="692"/>
      <c r="N6" s="692"/>
      <c r="O6" s="692"/>
      <c r="P6" s="692"/>
      <c r="Q6" s="692"/>
      <c r="R6" s="692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</row>
    <row r="7" spans="1:257" ht="12.75" x14ac:dyDescent="0.2">
      <c r="A7" s="693" t="s">
        <v>82</v>
      </c>
      <c r="B7" s="694"/>
      <c r="C7" s="694"/>
      <c r="D7" s="694"/>
      <c r="E7" s="694"/>
      <c r="F7" s="695"/>
      <c r="G7" s="695"/>
      <c r="H7" s="695"/>
      <c r="I7" s="695"/>
      <c r="J7" s="696"/>
      <c r="K7" s="686"/>
      <c r="L7" s="686"/>
      <c r="M7" s="686"/>
      <c r="N7" s="686"/>
      <c r="O7" s="686"/>
      <c r="P7" s="686"/>
      <c r="Q7" s="686"/>
      <c r="R7" s="686"/>
    </row>
    <row r="8" spans="1:257" ht="12.75" x14ac:dyDescent="0.2">
      <c r="A8" s="697" t="s">
        <v>820</v>
      </c>
      <c r="B8" s="471"/>
      <c r="C8" s="471"/>
      <c r="D8" s="471"/>
      <c r="E8" s="471"/>
      <c r="F8" s="528"/>
      <c r="G8" s="528"/>
      <c r="H8" s="528"/>
      <c r="I8" s="528"/>
      <c r="J8" s="696"/>
      <c r="K8" s="686"/>
      <c r="L8" s="686"/>
      <c r="M8" s="686"/>
      <c r="N8" s="686"/>
      <c r="O8" s="686"/>
      <c r="P8" s="686"/>
      <c r="Q8" s="686"/>
      <c r="R8" s="686"/>
    </row>
    <row r="9" spans="1:257" ht="36" x14ac:dyDescent="0.2">
      <c r="A9" s="468" t="s">
        <v>821</v>
      </c>
      <c r="B9" s="378">
        <v>4865</v>
      </c>
      <c r="C9" s="469">
        <v>18.690000000000001</v>
      </c>
      <c r="D9" s="378">
        <v>4580000</v>
      </c>
      <c r="E9" s="378">
        <f>C9*D9</f>
        <v>85600200</v>
      </c>
      <c r="F9" s="568" t="s">
        <v>1192</v>
      </c>
      <c r="G9" s="376">
        <v>18.420000000000002</v>
      </c>
      <c r="H9" s="376">
        <v>4580000</v>
      </c>
      <c r="I9" s="377">
        <f>G9*H9</f>
        <v>84363600.000000015</v>
      </c>
      <c r="J9" s="696"/>
      <c r="K9" s="686"/>
      <c r="L9" s="686"/>
      <c r="M9" s="686"/>
      <c r="N9" s="686"/>
      <c r="O9" s="686"/>
      <c r="P9" s="686"/>
      <c r="Q9" s="686"/>
      <c r="R9" s="686"/>
    </row>
    <row r="10" spans="1:257" ht="12.75" x14ac:dyDescent="0.2">
      <c r="A10" s="381" t="s">
        <v>1193</v>
      </c>
      <c r="B10" s="471"/>
      <c r="C10" s="471"/>
      <c r="D10" s="471"/>
      <c r="E10" s="471"/>
      <c r="F10" s="428"/>
      <c r="G10" s="476"/>
      <c r="H10" s="476"/>
      <c r="I10" s="428"/>
      <c r="J10" s="696"/>
      <c r="K10" s="686"/>
      <c r="L10" s="686"/>
      <c r="M10" s="686"/>
      <c r="N10" s="686"/>
      <c r="O10" s="686"/>
      <c r="P10" s="686"/>
      <c r="Q10" s="686"/>
      <c r="R10" s="686"/>
    </row>
    <row r="11" spans="1:257" ht="12.75" x14ac:dyDescent="0.2">
      <c r="A11" s="468" t="s">
        <v>823</v>
      </c>
      <c r="B11" s="471"/>
      <c r="C11" s="480"/>
      <c r="D11" s="471" t="s">
        <v>295</v>
      </c>
      <c r="E11" s="471">
        <v>8328800</v>
      </c>
      <c r="F11" s="698"/>
      <c r="G11" s="476"/>
      <c r="H11" s="376" t="s">
        <v>295</v>
      </c>
      <c r="I11" s="377">
        <v>8329050</v>
      </c>
      <c r="J11" s="696"/>
      <c r="K11" s="686"/>
      <c r="L11" s="686"/>
      <c r="M11" s="686"/>
      <c r="N11" s="686"/>
      <c r="O11" s="686"/>
      <c r="P11" s="686"/>
      <c r="Q11" s="686"/>
      <c r="R11" s="686"/>
    </row>
    <row r="12" spans="1:257" ht="12.75" x14ac:dyDescent="0.2">
      <c r="A12" s="468" t="s">
        <v>1234</v>
      </c>
      <c r="B12" s="378"/>
      <c r="C12" s="379"/>
      <c r="D12" s="378"/>
      <c r="E12" s="378"/>
      <c r="F12" s="377"/>
      <c r="G12" s="376"/>
      <c r="H12" s="376"/>
      <c r="I12" s="377">
        <v>-8329050</v>
      </c>
      <c r="J12" s="696"/>
      <c r="K12" s="686"/>
      <c r="L12" s="686"/>
      <c r="M12" s="686"/>
      <c r="N12" s="686"/>
      <c r="O12" s="686"/>
      <c r="P12" s="686"/>
      <c r="Q12" s="686"/>
      <c r="R12" s="686"/>
    </row>
    <row r="13" spans="1:257" ht="24" x14ac:dyDescent="0.2">
      <c r="A13" s="468" t="s">
        <v>1235</v>
      </c>
      <c r="B13" s="378"/>
      <c r="C13" s="379"/>
      <c r="D13" s="378"/>
      <c r="E13" s="378"/>
      <c r="F13" s="377"/>
      <c r="G13" s="376"/>
      <c r="H13" s="376"/>
      <c r="I13" s="377">
        <f>I11+I12</f>
        <v>0</v>
      </c>
      <c r="J13" s="696"/>
      <c r="K13" s="686"/>
      <c r="L13" s="686"/>
      <c r="M13" s="686"/>
      <c r="N13" s="686"/>
      <c r="O13" s="686"/>
      <c r="P13" s="686"/>
      <c r="Q13" s="686"/>
      <c r="R13" s="686"/>
    </row>
    <row r="14" spans="1:257" ht="12.75" x14ac:dyDescent="0.2">
      <c r="A14" s="381" t="s">
        <v>826</v>
      </c>
      <c r="B14" s="471"/>
      <c r="C14" s="471"/>
      <c r="D14" s="532" t="s">
        <v>296</v>
      </c>
      <c r="E14" s="471">
        <v>18272000</v>
      </c>
      <c r="F14" s="698"/>
      <c r="G14" s="476"/>
      <c r="H14" s="699" t="s">
        <v>296</v>
      </c>
      <c r="I14" s="377">
        <v>18304000</v>
      </c>
      <c r="J14" s="696"/>
      <c r="K14" s="686"/>
      <c r="L14" s="686"/>
      <c r="M14" s="686"/>
      <c r="N14" s="686"/>
      <c r="O14" s="686"/>
      <c r="P14" s="686"/>
      <c r="Q14" s="686"/>
      <c r="R14" s="686"/>
    </row>
    <row r="15" spans="1:257" ht="12.75" x14ac:dyDescent="0.2">
      <c r="A15" s="381" t="s">
        <v>1234</v>
      </c>
      <c r="B15" s="471"/>
      <c r="C15" s="471"/>
      <c r="D15" s="532"/>
      <c r="E15" s="471"/>
      <c r="F15" s="428"/>
      <c r="G15" s="476"/>
      <c r="H15" s="476"/>
      <c r="I15" s="377">
        <v>-18304000</v>
      </c>
      <c r="J15" s="696"/>
      <c r="K15" s="686"/>
      <c r="L15" s="686"/>
      <c r="M15" s="686"/>
      <c r="N15" s="686"/>
      <c r="O15" s="686"/>
      <c r="P15" s="686"/>
      <c r="Q15" s="686"/>
      <c r="R15" s="686"/>
    </row>
    <row r="16" spans="1:257" ht="12.75" x14ac:dyDescent="0.2">
      <c r="A16" s="381" t="s">
        <v>1236</v>
      </c>
      <c r="B16" s="471"/>
      <c r="C16" s="471"/>
      <c r="D16" s="532"/>
      <c r="E16" s="471"/>
      <c r="F16" s="428"/>
      <c r="G16" s="476"/>
      <c r="H16" s="476"/>
      <c r="I16" s="377">
        <f>I14+I15</f>
        <v>0</v>
      </c>
      <c r="J16" s="696"/>
      <c r="K16" s="686"/>
      <c r="L16" s="686"/>
      <c r="M16" s="686"/>
      <c r="N16" s="686"/>
      <c r="O16" s="686"/>
      <c r="P16" s="686"/>
      <c r="Q16" s="686"/>
      <c r="R16" s="686"/>
    </row>
    <row r="17" spans="1:18" ht="12.75" x14ac:dyDescent="0.2">
      <c r="A17" s="381" t="s">
        <v>828</v>
      </c>
      <c r="B17" s="471"/>
      <c r="C17" s="471" t="s">
        <v>1194</v>
      </c>
      <c r="D17" s="472" t="s">
        <v>683</v>
      </c>
      <c r="E17" s="471">
        <v>1355022</v>
      </c>
      <c r="F17" s="698"/>
      <c r="G17" s="471"/>
      <c r="H17" s="472"/>
      <c r="I17" s="377">
        <v>100000</v>
      </c>
      <c r="J17" s="696"/>
      <c r="K17" s="686"/>
      <c r="L17" s="686"/>
      <c r="M17" s="686"/>
      <c r="N17" s="686"/>
      <c r="O17" s="686"/>
      <c r="P17" s="686"/>
      <c r="Q17" s="686"/>
      <c r="R17" s="686"/>
    </row>
    <row r="18" spans="1:18" ht="12.75" x14ac:dyDescent="0.2">
      <c r="A18" s="381" t="s">
        <v>1234</v>
      </c>
      <c r="B18" s="471"/>
      <c r="C18" s="471"/>
      <c r="D18" s="472"/>
      <c r="E18" s="471"/>
      <c r="F18" s="428"/>
      <c r="G18" s="471"/>
      <c r="H18" s="472"/>
      <c r="I18" s="377">
        <v>-100000</v>
      </c>
      <c r="J18" s="696"/>
      <c r="K18" s="686"/>
      <c r="L18" s="686"/>
      <c r="M18" s="686"/>
      <c r="N18" s="686"/>
      <c r="O18" s="686"/>
      <c r="P18" s="686"/>
      <c r="Q18" s="686"/>
      <c r="R18" s="686"/>
    </row>
    <row r="19" spans="1:18" ht="12.75" x14ac:dyDescent="0.2">
      <c r="A19" s="381" t="s">
        <v>1237</v>
      </c>
      <c r="B19" s="471"/>
      <c r="C19" s="471"/>
      <c r="D19" s="472"/>
      <c r="E19" s="471"/>
      <c r="F19" s="428"/>
      <c r="G19" s="471"/>
      <c r="H19" s="472"/>
      <c r="I19" s="377">
        <f>I17+I18</f>
        <v>0</v>
      </c>
      <c r="J19" s="696"/>
      <c r="K19" s="686"/>
      <c r="L19" s="686"/>
      <c r="M19" s="686"/>
      <c r="N19" s="686"/>
      <c r="O19" s="686"/>
      <c r="P19" s="686"/>
      <c r="Q19" s="686"/>
      <c r="R19" s="686"/>
    </row>
    <row r="20" spans="1:18" ht="12.75" x14ac:dyDescent="0.2">
      <c r="A20" s="381" t="s">
        <v>832</v>
      </c>
      <c r="B20" s="471"/>
      <c r="C20" s="480"/>
      <c r="D20" s="532" t="s">
        <v>684</v>
      </c>
      <c r="E20" s="471">
        <v>6369620</v>
      </c>
      <c r="F20" s="698"/>
      <c r="G20" s="476"/>
      <c r="H20" s="470" t="s">
        <v>684</v>
      </c>
      <c r="I20" s="377">
        <v>6212990</v>
      </c>
      <c r="J20" s="696"/>
      <c r="K20" s="686"/>
      <c r="L20" s="686"/>
      <c r="M20" s="686"/>
      <c r="N20" s="686"/>
      <c r="O20" s="686"/>
      <c r="P20" s="686"/>
      <c r="Q20" s="686"/>
      <c r="R20" s="686"/>
    </row>
    <row r="21" spans="1:18" ht="12.75" x14ac:dyDescent="0.2">
      <c r="A21" s="381" t="s">
        <v>1234</v>
      </c>
      <c r="B21" s="471"/>
      <c r="C21" s="480"/>
      <c r="D21" s="532"/>
      <c r="E21" s="471"/>
      <c r="F21" s="428"/>
      <c r="G21" s="476"/>
      <c r="H21" s="532"/>
      <c r="I21" s="377">
        <v>-6212990</v>
      </c>
      <c r="J21" s="696"/>
      <c r="K21" s="686"/>
      <c r="L21" s="686"/>
      <c r="M21" s="686"/>
      <c r="N21" s="686"/>
      <c r="O21" s="686"/>
      <c r="P21" s="686"/>
      <c r="Q21" s="686"/>
      <c r="R21" s="686"/>
    </row>
    <row r="22" spans="1:18" ht="12.75" x14ac:dyDescent="0.2">
      <c r="A22" s="381" t="s">
        <v>1238</v>
      </c>
      <c r="B22" s="471"/>
      <c r="C22" s="480"/>
      <c r="D22" s="532"/>
      <c r="E22" s="471"/>
      <c r="F22" s="428"/>
      <c r="G22" s="476"/>
      <c r="H22" s="532"/>
      <c r="I22" s="377">
        <f>I20+I21</f>
        <v>0</v>
      </c>
      <c r="J22" s="696"/>
      <c r="K22" s="686"/>
      <c r="L22" s="686"/>
      <c r="M22" s="686"/>
      <c r="N22" s="686"/>
      <c r="O22" s="686"/>
      <c r="P22" s="686"/>
      <c r="Q22" s="686"/>
      <c r="R22" s="686"/>
    </row>
    <row r="23" spans="1:18" ht="12.75" x14ac:dyDescent="0.2">
      <c r="A23" s="381" t="s">
        <v>834</v>
      </c>
      <c r="B23" s="471">
        <v>4865</v>
      </c>
      <c r="C23" s="471"/>
      <c r="D23" s="471">
        <v>2700</v>
      </c>
      <c r="E23" s="471">
        <f>B23*D23</f>
        <v>13135500</v>
      </c>
      <c r="F23" s="377">
        <v>4747</v>
      </c>
      <c r="G23" s="376"/>
      <c r="H23" s="378">
        <v>2700</v>
      </c>
      <c r="I23" s="377">
        <f>F23*H23</f>
        <v>12816900</v>
      </c>
      <c r="J23" s="409"/>
      <c r="K23" s="686"/>
      <c r="L23" s="686"/>
      <c r="M23" s="686"/>
      <c r="N23" s="686"/>
      <c r="O23" s="686"/>
      <c r="P23" s="686"/>
      <c r="Q23" s="686"/>
      <c r="R23" s="686"/>
    </row>
    <row r="24" spans="1:18" ht="12.75" x14ac:dyDescent="0.2">
      <c r="A24" s="381" t="s">
        <v>1239</v>
      </c>
      <c r="B24" s="378"/>
      <c r="C24" s="378"/>
      <c r="D24" s="378"/>
      <c r="E24" s="378">
        <v>-13135500</v>
      </c>
      <c r="F24" s="377"/>
      <c r="G24" s="376"/>
      <c r="H24" s="376"/>
      <c r="I24" s="377">
        <v>-12816900</v>
      </c>
      <c r="J24" s="696"/>
      <c r="K24" s="686"/>
      <c r="L24" s="686"/>
      <c r="M24" s="686"/>
      <c r="N24" s="686"/>
      <c r="O24" s="686"/>
      <c r="P24" s="686"/>
      <c r="Q24" s="686"/>
      <c r="R24" s="686"/>
    </row>
    <row r="25" spans="1:18" ht="12.75" x14ac:dyDescent="0.2">
      <c r="A25" s="381" t="s">
        <v>1240</v>
      </c>
      <c r="B25" s="378"/>
      <c r="C25" s="378"/>
      <c r="D25" s="378"/>
      <c r="E25" s="378">
        <f>E23+E24</f>
        <v>0</v>
      </c>
      <c r="F25" s="377"/>
      <c r="G25" s="376"/>
      <c r="H25" s="376"/>
      <c r="I25" s="377">
        <f>I23+I24</f>
        <v>0</v>
      </c>
      <c r="J25" s="696"/>
      <c r="K25" s="686"/>
      <c r="L25" s="686"/>
      <c r="M25" s="686"/>
      <c r="N25" s="686"/>
      <c r="O25" s="686"/>
      <c r="P25" s="686"/>
      <c r="Q25" s="686"/>
      <c r="R25" s="686"/>
    </row>
    <row r="26" spans="1:18" ht="12.75" x14ac:dyDescent="0.2">
      <c r="A26" s="381" t="s">
        <v>837</v>
      </c>
      <c r="B26" s="471">
        <v>10</v>
      </c>
      <c r="C26" s="471"/>
      <c r="D26" s="471" t="s">
        <v>298</v>
      </c>
      <c r="E26" s="474">
        <v>25500</v>
      </c>
      <c r="F26" s="377">
        <v>19</v>
      </c>
      <c r="G26" s="376"/>
      <c r="H26" s="378" t="s">
        <v>298</v>
      </c>
      <c r="I26" s="377">
        <v>48450</v>
      </c>
      <c r="J26" s="696"/>
      <c r="K26" s="686"/>
      <c r="L26" s="686"/>
      <c r="M26" s="686"/>
      <c r="N26" s="686"/>
      <c r="O26" s="686"/>
      <c r="P26" s="686"/>
      <c r="Q26" s="686"/>
      <c r="R26" s="686"/>
    </row>
    <row r="27" spans="1:18" ht="12.75" x14ac:dyDescent="0.2">
      <c r="A27" s="381" t="s">
        <v>1241</v>
      </c>
      <c r="B27" s="471"/>
      <c r="C27" s="471"/>
      <c r="D27" s="471"/>
      <c r="E27" s="471">
        <v>-25500</v>
      </c>
      <c r="F27" s="428"/>
      <c r="G27" s="476"/>
      <c r="H27" s="476"/>
      <c r="I27" s="377">
        <v>-48450</v>
      </c>
      <c r="J27" s="696"/>
      <c r="K27" s="686"/>
      <c r="L27" s="686"/>
      <c r="M27" s="686"/>
      <c r="N27" s="686"/>
      <c r="O27" s="686"/>
      <c r="P27" s="686"/>
      <c r="Q27" s="686"/>
      <c r="R27" s="686"/>
    </row>
    <row r="28" spans="1:18" ht="12.75" x14ac:dyDescent="0.2">
      <c r="A28" s="381" t="s">
        <v>1242</v>
      </c>
      <c r="B28" s="471"/>
      <c r="C28" s="471"/>
      <c r="D28" s="471"/>
      <c r="E28" s="474">
        <v>0</v>
      </c>
      <c r="F28" s="428"/>
      <c r="G28" s="476"/>
      <c r="H28" s="476"/>
      <c r="I28" s="377">
        <f>I26+I27</f>
        <v>0</v>
      </c>
      <c r="J28" s="696"/>
      <c r="K28" s="686"/>
      <c r="L28" s="686"/>
      <c r="M28" s="686"/>
      <c r="N28" s="686"/>
      <c r="O28" s="686"/>
      <c r="P28" s="686"/>
      <c r="Q28" s="686"/>
      <c r="R28" s="686"/>
    </row>
    <row r="29" spans="1:18" ht="12.75" x14ac:dyDescent="0.2">
      <c r="A29" s="381" t="s">
        <v>1195</v>
      </c>
      <c r="B29" s="378"/>
      <c r="C29" s="378">
        <v>487729000</v>
      </c>
      <c r="D29" s="379">
        <v>1.55</v>
      </c>
      <c r="E29" s="378">
        <f>C29*D29</f>
        <v>755979950</v>
      </c>
      <c r="F29" s="377"/>
      <c r="G29" s="377">
        <v>600595988</v>
      </c>
      <c r="H29" s="379">
        <v>1</v>
      </c>
      <c r="I29" s="377">
        <f>G29*H29</f>
        <v>600595988</v>
      </c>
      <c r="J29" s="696"/>
      <c r="K29" s="686"/>
      <c r="L29" s="686"/>
      <c r="M29" s="686"/>
      <c r="N29" s="686"/>
      <c r="O29" s="686"/>
      <c r="P29" s="686"/>
      <c r="Q29" s="686"/>
      <c r="R29" s="686"/>
    </row>
    <row r="30" spans="1:18" ht="12.75" x14ac:dyDescent="0.2">
      <c r="A30" s="381" t="s">
        <v>1239</v>
      </c>
      <c r="B30" s="378"/>
      <c r="C30" s="378"/>
      <c r="D30" s="382"/>
      <c r="E30" s="378">
        <v>-98054262</v>
      </c>
      <c r="F30" s="377"/>
      <c r="G30" s="376"/>
      <c r="H30" s="376"/>
      <c r="I30" s="377">
        <v>-80431412</v>
      </c>
      <c r="J30" s="696"/>
      <c r="K30" s="686"/>
      <c r="L30" s="686"/>
      <c r="M30" s="686"/>
      <c r="N30" s="686"/>
      <c r="O30" s="686"/>
      <c r="P30" s="686"/>
      <c r="Q30" s="686"/>
      <c r="R30" s="686"/>
    </row>
    <row r="31" spans="1:18" ht="12.75" x14ac:dyDescent="0.2">
      <c r="A31" s="381" t="s">
        <v>1243</v>
      </c>
      <c r="B31" s="378"/>
      <c r="C31" s="378"/>
      <c r="D31" s="382"/>
      <c r="E31" s="378">
        <f>E29+E30</f>
        <v>657925688</v>
      </c>
      <c r="F31" s="377"/>
      <c r="G31" s="376"/>
      <c r="H31" s="376"/>
      <c r="I31" s="377">
        <f>I29+I30</f>
        <v>520164576</v>
      </c>
      <c r="J31" s="696"/>
      <c r="K31" s="686"/>
      <c r="L31" s="686"/>
      <c r="M31" s="686"/>
      <c r="N31" s="686"/>
      <c r="O31" s="686"/>
      <c r="P31" s="686"/>
      <c r="Q31" s="686"/>
      <c r="R31" s="686"/>
    </row>
    <row r="32" spans="1:18" ht="36" x14ac:dyDescent="0.2">
      <c r="A32" s="468" t="s">
        <v>1266</v>
      </c>
      <c r="B32" s="471"/>
      <c r="C32" s="471"/>
      <c r="D32" s="471"/>
      <c r="E32" s="471"/>
      <c r="F32" s="428"/>
      <c r="G32" s="476"/>
      <c r="H32" s="476"/>
      <c r="I32" s="428"/>
      <c r="J32" s="696"/>
      <c r="K32" s="477" t="s">
        <v>1244</v>
      </c>
      <c r="M32" s="686"/>
      <c r="N32" s="477">
        <v>135897496</v>
      </c>
      <c r="O32" s="477">
        <v>-9654694</v>
      </c>
      <c r="P32" s="477">
        <f>N32+O32</f>
        <v>126242802</v>
      </c>
      <c r="Q32" s="686"/>
      <c r="R32" s="686"/>
    </row>
    <row r="33" spans="1:19" ht="36" x14ac:dyDescent="0.2">
      <c r="A33" s="468" t="s">
        <v>1267</v>
      </c>
      <c r="B33" s="471"/>
      <c r="C33" s="471"/>
      <c r="D33" s="471"/>
      <c r="E33" s="471"/>
      <c r="F33" s="698"/>
      <c r="G33" s="476"/>
      <c r="H33" s="476"/>
      <c r="I33" s="377">
        <v>0</v>
      </c>
      <c r="J33" s="696"/>
      <c r="K33" s="700"/>
      <c r="M33" s="686"/>
      <c r="N33" s="686"/>
      <c r="O33" s="686"/>
      <c r="P33" s="686"/>
      <c r="Q33" s="686"/>
      <c r="R33" s="686"/>
    </row>
    <row r="34" spans="1:19" ht="36" x14ac:dyDescent="0.2">
      <c r="A34" s="468" t="s">
        <v>1196</v>
      </c>
      <c r="B34" s="471"/>
      <c r="C34" s="471"/>
      <c r="D34" s="471"/>
      <c r="E34" s="471"/>
      <c r="F34" s="568" t="s">
        <v>1197</v>
      </c>
      <c r="G34" s="476"/>
      <c r="H34" s="476"/>
      <c r="I34" s="428"/>
      <c r="J34" s="696"/>
      <c r="K34" s="721">
        <f>I9+I13+I16+I19+I22+I25+I28+I31+I32+I33+I34</f>
        <v>604528176</v>
      </c>
      <c r="L34" s="5" t="s">
        <v>913</v>
      </c>
      <c r="M34" s="686"/>
      <c r="N34" s="686"/>
      <c r="O34" s="686"/>
      <c r="P34" s="686"/>
      <c r="Q34" s="686"/>
      <c r="R34" s="686"/>
    </row>
    <row r="35" spans="1:19" ht="12.75" x14ac:dyDescent="0.2">
      <c r="A35" s="475"/>
      <c r="B35" s="471"/>
      <c r="C35" s="471"/>
      <c r="D35" s="471"/>
      <c r="E35" s="471"/>
      <c r="F35" s="428"/>
      <c r="G35" s="476"/>
      <c r="H35" s="476"/>
      <c r="I35" s="428"/>
      <c r="J35" s="696"/>
      <c r="K35" s="700"/>
      <c r="L35" s="686"/>
      <c r="M35" s="686"/>
      <c r="N35" s="686"/>
      <c r="O35" s="686"/>
      <c r="P35" s="686"/>
      <c r="Q35" s="686"/>
      <c r="R35" s="686"/>
    </row>
    <row r="36" spans="1:19" ht="12.75" x14ac:dyDescent="0.2">
      <c r="A36" s="475"/>
      <c r="B36" s="471"/>
      <c r="C36" s="471"/>
      <c r="D36" s="471"/>
      <c r="E36" s="471"/>
      <c r="F36" s="428"/>
      <c r="G36" s="476"/>
      <c r="H36" s="476"/>
      <c r="I36" s="428"/>
      <c r="J36" s="696"/>
      <c r="K36" s="700"/>
      <c r="L36" s="686"/>
      <c r="M36" s="686"/>
      <c r="N36" s="686"/>
      <c r="O36" s="686"/>
      <c r="P36" s="686"/>
      <c r="Q36" s="686"/>
      <c r="R36" s="686"/>
    </row>
    <row r="37" spans="1:19" ht="12.75" x14ac:dyDescent="0.2">
      <c r="A37" s="478" t="s">
        <v>83</v>
      </c>
      <c r="B37" s="378"/>
      <c r="C37" s="378"/>
      <c r="D37" s="378"/>
      <c r="E37" s="378"/>
      <c r="F37" s="377"/>
      <c r="G37" s="376"/>
      <c r="H37" s="376"/>
      <c r="I37" s="377"/>
      <c r="J37" s="696"/>
      <c r="K37" s="686"/>
      <c r="L37" s="686"/>
      <c r="M37" s="686"/>
      <c r="N37" s="686"/>
      <c r="O37" s="686"/>
      <c r="P37" s="686"/>
      <c r="Q37" s="686"/>
      <c r="R37" s="686"/>
    </row>
    <row r="38" spans="1:19" ht="24" x14ac:dyDescent="0.2">
      <c r="A38" s="468" t="s">
        <v>843</v>
      </c>
      <c r="B38" s="378"/>
      <c r="C38" s="378"/>
      <c r="D38" s="378"/>
      <c r="E38" s="378"/>
      <c r="F38" s="377"/>
      <c r="G38" s="376"/>
      <c r="H38" s="376"/>
      <c r="I38" s="377"/>
      <c r="J38" s="696"/>
      <c r="K38" s="686"/>
      <c r="L38" s="686"/>
      <c r="M38" s="686"/>
      <c r="N38" s="686"/>
      <c r="O38" s="686"/>
      <c r="P38" s="686"/>
      <c r="Q38" s="686"/>
      <c r="R38" s="686"/>
    </row>
    <row r="39" spans="1:19" ht="12.75" x14ac:dyDescent="0.2">
      <c r="A39" s="468" t="s">
        <v>844</v>
      </c>
      <c r="B39" s="378"/>
      <c r="C39" s="379">
        <v>13.1</v>
      </c>
      <c r="D39" s="378">
        <v>4152000</v>
      </c>
      <c r="E39" s="378">
        <f>C39*D39*8/12</f>
        <v>36260800</v>
      </c>
      <c r="F39" s="702" t="s">
        <v>1245</v>
      </c>
      <c r="G39" s="533">
        <v>11.8</v>
      </c>
      <c r="H39" s="703">
        <v>4371500</v>
      </c>
      <c r="I39" s="377">
        <f>G39*8/12*H39</f>
        <v>34389133.333333336</v>
      </c>
      <c r="J39" s="696"/>
      <c r="K39" s="686"/>
      <c r="L39" s="686"/>
      <c r="M39" s="686"/>
      <c r="N39" s="686"/>
      <c r="O39" s="686"/>
      <c r="P39" s="686"/>
      <c r="Q39" s="686"/>
      <c r="R39" s="686"/>
    </row>
    <row r="40" spans="1:19" ht="12.75" x14ac:dyDescent="0.2">
      <c r="A40" s="468" t="s">
        <v>845</v>
      </c>
      <c r="B40" s="378"/>
      <c r="C40" s="379">
        <v>13.1</v>
      </c>
      <c r="D40" s="380">
        <v>4152000</v>
      </c>
      <c r="E40" s="378">
        <f>C40*D40*4/12</f>
        <v>18130400</v>
      </c>
      <c r="F40" s="702" t="s">
        <v>1246</v>
      </c>
      <c r="G40" s="479">
        <v>11.6</v>
      </c>
      <c r="H40" s="377">
        <v>4371500</v>
      </c>
      <c r="I40" s="377">
        <f>G40*4/12*H40</f>
        <v>16903133.333333332</v>
      </c>
      <c r="J40" s="696"/>
      <c r="K40" s="686"/>
      <c r="L40" s="686"/>
      <c r="M40" s="686"/>
      <c r="N40" s="686"/>
      <c r="O40" s="686"/>
      <c r="P40" s="686"/>
      <c r="Q40" s="686"/>
      <c r="R40" s="686"/>
    </row>
    <row r="41" spans="1:19" ht="24" x14ac:dyDescent="0.2">
      <c r="A41" s="468" t="s">
        <v>846</v>
      </c>
      <c r="B41" s="378"/>
      <c r="C41" s="378">
        <v>10</v>
      </c>
      <c r="D41" s="378">
        <v>1800000</v>
      </c>
      <c r="E41" s="378">
        <f>C41*D41*8/12</f>
        <v>12000000</v>
      </c>
      <c r="F41" s="568"/>
      <c r="G41" s="479">
        <v>9</v>
      </c>
      <c r="H41" s="377">
        <v>2205000</v>
      </c>
      <c r="I41" s="377">
        <f>G41*H41*8/12</f>
        <v>13230000</v>
      </c>
      <c r="J41" s="696"/>
      <c r="K41" s="686"/>
      <c r="L41" s="686"/>
      <c r="M41" s="686"/>
      <c r="N41" s="686"/>
      <c r="O41" s="686"/>
      <c r="P41" s="686"/>
      <c r="Q41" s="686"/>
      <c r="R41" s="686"/>
    </row>
    <row r="42" spans="1:19" ht="24" x14ac:dyDescent="0.2">
      <c r="A42" s="468" t="s">
        <v>943</v>
      </c>
      <c r="B42" s="378"/>
      <c r="C42" s="378"/>
      <c r="D42" s="378"/>
      <c r="E42" s="378"/>
      <c r="F42" s="377"/>
      <c r="G42" s="479">
        <v>0</v>
      </c>
      <c r="H42" s="377">
        <v>4371500</v>
      </c>
      <c r="I42" s="377">
        <f>G42*H42*8/12</f>
        <v>0</v>
      </c>
      <c r="J42" s="696"/>
      <c r="K42" s="686"/>
      <c r="L42" s="686"/>
      <c r="M42" s="686"/>
      <c r="N42" s="686"/>
      <c r="O42" s="686"/>
      <c r="P42" s="686"/>
      <c r="Q42" s="686"/>
      <c r="R42" s="686"/>
    </row>
    <row r="43" spans="1:19" ht="24" x14ac:dyDescent="0.2">
      <c r="A43" s="468" t="s">
        <v>848</v>
      </c>
      <c r="B43" s="378"/>
      <c r="C43" s="378">
        <v>10</v>
      </c>
      <c r="D43" s="378">
        <v>1800000</v>
      </c>
      <c r="E43" s="378">
        <f>C43*D43*4/12</f>
        <v>6000000</v>
      </c>
      <c r="F43" s="377"/>
      <c r="G43" s="479">
        <v>9</v>
      </c>
      <c r="H43" s="377">
        <v>2205000</v>
      </c>
      <c r="I43" s="377">
        <f>G43*H43*4/12</f>
        <v>6615000</v>
      </c>
      <c r="J43" s="704"/>
      <c r="K43" s="686"/>
      <c r="L43" s="686"/>
      <c r="M43" s="686"/>
      <c r="N43" s="686"/>
      <c r="O43" s="686"/>
      <c r="P43" s="686"/>
      <c r="Q43" s="686"/>
      <c r="R43" s="686"/>
    </row>
    <row r="44" spans="1:19" ht="60" x14ac:dyDescent="0.2">
      <c r="A44" s="468" t="s">
        <v>944</v>
      </c>
      <c r="B44" s="378"/>
      <c r="C44" s="378"/>
      <c r="D44" s="378"/>
      <c r="E44" s="378"/>
      <c r="F44" s="377"/>
      <c r="G44" s="479">
        <v>0</v>
      </c>
      <c r="H44" s="377">
        <v>4371500</v>
      </c>
      <c r="I44" s="377">
        <f>G44*H44*4/12</f>
        <v>0</v>
      </c>
      <c r="J44" s="704"/>
      <c r="K44" s="577" t="s">
        <v>1198</v>
      </c>
      <c r="L44" s="477">
        <f>I9+I11+I14+I17+I20+I23+I26+I29</f>
        <v>730770978</v>
      </c>
      <c r="M44" s="686"/>
      <c r="N44" s="578" t="s">
        <v>1199</v>
      </c>
      <c r="O44" s="477">
        <v>135897496</v>
      </c>
      <c r="P44" s="477">
        <v>-9654694</v>
      </c>
      <c r="Q44" s="477">
        <f>I12+I15+I18+I21+I24+I27</f>
        <v>-45811390</v>
      </c>
      <c r="R44" s="477">
        <f>O44+Q44+P44</f>
        <v>80431412</v>
      </c>
      <c r="S44" s="578" t="s">
        <v>915</v>
      </c>
    </row>
    <row r="45" spans="1:19" ht="12.75" x14ac:dyDescent="0.2">
      <c r="A45" s="381" t="s">
        <v>851</v>
      </c>
      <c r="B45" s="378"/>
      <c r="C45" s="378"/>
      <c r="D45" s="378"/>
      <c r="E45" s="378"/>
      <c r="F45" s="377"/>
      <c r="G45" s="376"/>
      <c r="H45" s="376"/>
      <c r="I45" s="377"/>
      <c r="J45" s="409"/>
      <c r="K45" s="686"/>
      <c r="L45" s="686"/>
      <c r="M45" s="686"/>
      <c r="N45" s="686"/>
      <c r="O45" s="686"/>
      <c r="P45" s="686"/>
      <c r="Q45" s="686"/>
      <c r="R45" s="686"/>
    </row>
    <row r="46" spans="1:19" ht="24" x14ac:dyDescent="0.2">
      <c r="A46" s="468" t="s">
        <v>945</v>
      </c>
      <c r="B46" s="378"/>
      <c r="C46" s="378">
        <v>142</v>
      </c>
      <c r="D46" s="378">
        <v>70000</v>
      </c>
      <c r="E46" s="378">
        <f>C46*D46*8/12</f>
        <v>6626666.666666667</v>
      </c>
      <c r="F46" s="568"/>
      <c r="G46" s="377">
        <v>128</v>
      </c>
      <c r="H46" s="378">
        <v>97400</v>
      </c>
      <c r="I46" s="377">
        <f>G46*H46*8/12</f>
        <v>8311466.666666667</v>
      </c>
      <c r="J46" s="409"/>
      <c r="K46" s="686"/>
      <c r="L46" s="686"/>
      <c r="M46" s="686"/>
      <c r="N46" s="686"/>
      <c r="O46" s="686"/>
      <c r="P46" s="686"/>
      <c r="Q46" s="686"/>
      <c r="R46" s="686"/>
    </row>
    <row r="47" spans="1:19" ht="24" x14ac:dyDescent="0.2">
      <c r="A47" s="468" t="s">
        <v>1200</v>
      </c>
      <c r="B47" s="378"/>
      <c r="C47" s="378">
        <v>142</v>
      </c>
      <c r="D47" s="378">
        <v>70000</v>
      </c>
      <c r="E47" s="378">
        <f>C47*D47*4/12</f>
        <v>3313333.3333333335</v>
      </c>
      <c r="F47" s="568"/>
      <c r="G47" s="377">
        <v>130</v>
      </c>
      <c r="H47" s="378">
        <v>97400</v>
      </c>
      <c r="I47" s="377">
        <f>G47*H47*4/12</f>
        <v>4220666.666666667</v>
      </c>
      <c r="J47" s="696"/>
      <c r="K47" s="686"/>
      <c r="L47" s="686"/>
      <c r="M47" s="686"/>
      <c r="N47" s="686"/>
      <c r="O47" s="686"/>
      <c r="P47" s="686"/>
      <c r="Q47" s="686"/>
      <c r="R47" s="686"/>
    </row>
    <row r="48" spans="1:19" ht="12.75" x14ac:dyDescent="0.2">
      <c r="A48" s="381" t="s">
        <v>901</v>
      </c>
      <c r="B48" s="378"/>
      <c r="C48" s="378"/>
      <c r="D48" s="378"/>
      <c r="E48" s="378"/>
      <c r="F48" s="377"/>
      <c r="G48" s="376"/>
      <c r="H48" s="376"/>
      <c r="I48" s="377"/>
      <c r="J48" s="696"/>
      <c r="K48" s="686"/>
      <c r="L48" s="686"/>
      <c r="M48" s="686"/>
      <c r="N48" s="686"/>
      <c r="O48" s="686"/>
      <c r="P48" s="686"/>
      <c r="Q48" s="686"/>
      <c r="R48" s="686"/>
    </row>
    <row r="49" spans="1:18" ht="48" x14ac:dyDescent="0.2">
      <c r="A49" s="468" t="s">
        <v>1201</v>
      </c>
      <c r="B49" s="378"/>
      <c r="C49" s="378">
        <v>5</v>
      </c>
      <c r="D49" s="483" t="s">
        <v>299</v>
      </c>
      <c r="E49" s="378">
        <v>1760000</v>
      </c>
      <c r="F49" s="377"/>
      <c r="G49" s="376">
        <v>4</v>
      </c>
      <c r="H49" s="377">
        <v>396700</v>
      </c>
      <c r="I49" s="377">
        <f>G49*H49</f>
        <v>1586800</v>
      </c>
      <c r="J49" s="696"/>
      <c r="K49" s="686"/>
      <c r="L49" s="686"/>
      <c r="M49" s="686"/>
      <c r="N49" s="686"/>
      <c r="O49" s="686"/>
      <c r="P49" s="686"/>
      <c r="Q49" s="686"/>
      <c r="R49" s="686"/>
    </row>
    <row r="50" spans="1:18" ht="48" x14ac:dyDescent="0.2">
      <c r="A50" s="468" t="s">
        <v>1202</v>
      </c>
      <c r="B50" s="378"/>
      <c r="C50" s="378"/>
      <c r="D50" s="378"/>
      <c r="E50" s="378"/>
      <c r="F50" s="377"/>
      <c r="G50" s="376">
        <v>0</v>
      </c>
      <c r="H50" s="377">
        <v>363642</v>
      </c>
      <c r="I50" s="377">
        <f>G50*H50</f>
        <v>0</v>
      </c>
      <c r="J50" s="696"/>
      <c r="K50" s="477"/>
      <c r="M50" s="686"/>
      <c r="N50" s="686"/>
      <c r="O50" s="686"/>
      <c r="P50" s="686"/>
      <c r="Q50" s="686"/>
      <c r="R50" s="686"/>
    </row>
    <row r="51" spans="1:18" ht="12.75" x14ac:dyDescent="0.2">
      <c r="A51" s="468" t="s">
        <v>1203</v>
      </c>
      <c r="B51" s="378"/>
      <c r="C51" s="378"/>
      <c r="D51" s="378"/>
      <c r="E51" s="378"/>
      <c r="F51" s="377"/>
      <c r="G51" s="376">
        <v>0</v>
      </c>
      <c r="H51" s="377">
        <v>563000</v>
      </c>
      <c r="I51" s="377">
        <f>G51*H51</f>
        <v>0</v>
      </c>
      <c r="J51" s="696"/>
      <c r="K51" s="721">
        <f>SUM(I39:I51)</f>
        <v>85256200.000000015</v>
      </c>
      <c r="L51" s="5" t="s">
        <v>916</v>
      </c>
      <c r="M51" s="686"/>
      <c r="N51" s="686"/>
      <c r="O51" s="686"/>
      <c r="P51" s="686"/>
      <c r="Q51" s="686"/>
      <c r="R51" s="686"/>
    </row>
    <row r="52" spans="1:18" ht="12.75" x14ac:dyDescent="0.2">
      <c r="A52" s="482"/>
      <c r="B52" s="471"/>
      <c r="C52" s="471"/>
      <c r="D52" s="471"/>
      <c r="E52" s="471"/>
      <c r="F52" s="428"/>
      <c r="G52" s="476"/>
      <c r="H52" s="476"/>
      <c r="I52" s="428"/>
      <c r="J52" s="696"/>
      <c r="K52" s="700"/>
      <c r="L52" s="686"/>
      <c r="M52" s="686"/>
      <c r="N52" s="686"/>
      <c r="O52" s="686"/>
      <c r="P52" s="686"/>
      <c r="Q52" s="686"/>
      <c r="R52" s="686"/>
    </row>
    <row r="53" spans="1:18" ht="12.75" x14ac:dyDescent="0.2">
      <c r="A53" s="478" t="s">
        <v>84</v>
      </c>
      <c r="B53" s="471"/>
      <c r="C53" s="471"/>
      <c r="D53" s="471"/>
      <c r="E53" s="471"/>
      <c r="F53" s="428"/>
      <c r="G53" s="476"/>
      <c r="H53" s="476"/>
      <c r="I53" s="428"/>
      <c r="J53" s="696"/>
      <c r="K53" s="686"/>
      <c r="L53" s="686"/>
      <c r="M53" s="686"/>
      <c r="N53" s="686"/>
      <c r="O53" s="686"/>
      <c r="P53" s="686"/>
      <c r="Q53" s="686"/>
      <c r="R53" s="686"/>
    </row>
    <row r="54" spans="1:18" ht="36" x14ac:dyDescent="0.2">
      <c r="A54" s="381" t="s">
        <v>1204</v>
      </c>
      <c r="B54" s="471"/>
      <c r="C54" s="471"/>
      <c r="D54" s="471"/>
      <c r="E54" s="471">
        <v>0</v>
      </c>
      <c r="F54" s="568" t="s">
        <v>1197</v>
      </c>
      <c r="G54" s="476"/>
      <c r="H54" s="476"/>
      <c r="I54" s="377">
        <v>0</v>
      </c>
      <c r="J54" s="705"/>
      <c r="K54" s="686"/>
      <c r="L54" s="686"/>
      <c r="M54" s="686"/>
      <c r="N54" s="686"/>
      <c r="O54" s="686"/>
      <c r="P54" s="686"/>
      <c r="Q54" s="686"/>
      <c r="R54" s="686"/>
    </row>
    <row r="55" spans="1:18" ht="24" x14ac:dyDescent="0.2">
      <c r="A55" s="468" t="s">
        <v>1205</v>
      </c>
      <c r="B55" s="471"/>
      <c r="C55" s="471"/>
      <c r="D55" s="471"/>
      <c r="E55" s="474">
        <v>0</v>
      </c>
      <c r="F55" s="428"/>
      <c r="G55" s="476"/>
      <c r="H55" s="476"/>
      <c r="I55" s="377">
        <v>0</v>
      </c>
      <c r="J55" s="696"/>
      <c r="K55" s="686"/>
      <c r="L55" s="686"/>
      <c r="M55" s="686"/>
      <c r="N55" s="686"/>
      <c r="O55" s="686"/>
      <c r="P55" s="686"/>
      <c r="Q55" s="686"/>
      <c r="R55" s="686"/>
    </row>
    <row r="56" spans="1:18" ht="12.75" x14ac:dyDescent="0.2">
      <c r="A56" s="381" t="s">
        <v>862</v>
      </c>
      <c r="B56" s="471"/>
      <c r="C56" s="471"/>
      <c r="D56" s="471"/>
      <c r="E56" s="471"/>
      <c r="F56" s="428"/>
      <c r="G56" s="476"/>
      <c r="H56" s="476"/>
      <c r="I56" s="428"/>
      <c r="J56" s="696"/>
      <c r="K56" s="686"/>
      <c r="L56" s="686"/>
      <c r="M56" s="686"/>
      <c r="N56" s="686"/>
      <c r="O56" s="686"/>
      <c r="P56" s="686"/>
      <c r="Q56" s="686"/>
      <c r="R56" s="686"/>
    </row>
    <row r="57" spans="1:18" ht="12.75" x14ac:dyDescent="0.2">
      <c r="A57" s="381" t="s">
        <v>863</v>
      </c>
      <c r="B57" s="471"/>
      <c r="C57" s="471"/>
      <c r="D57" s="471"/>
      <c r="E57" s="471"/>
      <c r="F57" s="428"/>
      <c r="G57" s="476"/>
      <c r="H57" s="476"/>
      <c r="I57" s="428"/>
      <c r="J57" s="696"/>
      <c r="K57" s="686"/>
      <c r="L57" s="686"/>
      <c r="M57" s="686"/>
      <c r="N57" s="686"/>
      <c r="O57" s="686"/>
      <c r="P57" s="686"/>
      <c r="Q57" s="686"/>
      <c r="R57" s="686"/>
    </row>
    <row r="58" spans="1:18" ht="12.75" x14ac:dyDescent="0.2">
      <c r="A58" s="381" t="s">
        <v>864</v>
      </c>
      <c r="B58" s="471"/>
      <c r="C58" s="471"/>
      <c r="D58" s="471"/>
      <c r="E58" s="471"/>
      <c r="F58" s="428"/>
      <c r="G58" s="476"/>
      <c r="H58" s="476"/>
      <c r="I58" s="428"/>
      <c r="J58" s="696"/>
      <c r="K58" s="686"/>
      <c r="L58" s="686"/>
      <c r="M58" s="686"/>
      <c r="N58" s="686"/>
      <c r="O58" s="686"/>
      <c r="P58" s="686"/>
      <c r="Q58" s="686"/>
      <c r="R58" s="686"/>
    </row>
    <row r="59" spans="1:18" ht="12.75" x14ac:dyDescent="0.2">
      <c r="A59" s="482" t="s">
        <v>1247</v>
      </c>
      <c r="B59" s="475"/>
      <c r="C59" s="484"/>
      <c r="D59" s="471"/>
      <c r="E59" s="471">
        <f>C59*D59/2</f>
        <v>0</v>
      </c>
      <c r="F59" s="378"/>
      <c r="G59" s="485"/>
      <c r="H59" s="476"/>
      <c r="I59" s="428"/>
      <c r="J59" s="705"/>
      <c r="K59" s="686"/>
      <c r="L59" s="686"/>
      <c r="M59" s="686"/>
      <c r="N59" s="686"/>
      <c r="O59" s="686"/>
      <c r="P59" s="686"/>
      <c r="Q59" s="686"/>
      <c r="R59" s="686"/>
    </row>
    <row r="60" spans="1:18" ht="24" x14ac:dyDescent="0.2">
      <c r="A60" s="468" t="s">
        <v>902</v>
      </c>
      <c r="B60" s="378"/>
      <c r="C60" s="381"/>
      <c r="D60" s="378"/>
      <c r="E60" s="378"/>
      <c r="F60" s="377"/>
      <c r="G60" s="383">
        <v>0</v>
      </c>
      <c r="H60" s="376"/>
      <c r="I60" s="377"/>
      <c r="J60" s="705"/>
      <c r="K60" s="686"/>
      <c r="L60" s="686"/>
      <c r="M60" s="686"/>
      <c r="N60" s="686"/>
      <c r="O60" s="686"/>
      <c r="P60" s="686"/>
      <c r="Q60" s="686"/>
      <c r="R60" s="686"/>
    </row>
    <row r="61" spans="1:18" ht="24" x14ac:dyDescent="0.2">
      <c r="A61" s="468" t="s">
        <v>1206</v>
      </c>
      <c r="B61" s="378"/>
      <c r="C61" s="381"/>
      <c r="D61" s="378"/>
      <c r="E61" s="378"/>
      <c r="F61" s="377"/>
      <c r="G61" s="382">
        <v>1</v>
      </c>
      <c r="H61" s="376"/>
      <c r="I61" s="377"/>
      <c r="J61" s="696"/>
      <c r="K61" s="686"/>
      <c r="L61" s="686"/>
      <c r="M61" s="686"/>
      <c r="N61" s="686"/>
      <c r="O61" s="686"/>
      <c r="P61" s="686"/>
      <c r="Q61" s="686"/>
      <c r="R61" s="686"/>
    </row>
    <row r="62" spans="1:18" ht="12.75" x14ac:dyDescent="0.2">
      <c r="A62" s="381" t="s">
        <v>868</v>
      </c>
      <c r="B62" s="378"/>
      <c r="C62" s="706">
        <v>0.97299999999999998</v>
      </c>
      <c r="D62" s="378">
        <v>3000000</v>
      </c>
      <c r="E62" s="378"/>
      <c r="F62" s="377"/>
      <c r="G62" s="382">
        <v>2</v>
      </c>
      <c r="H62" s="378">
        <v>3000000</v>
      </c>
      <c r="I62" s="377">
        <f>(2*1+0)*H62</f>
        <v>6000000</v>
      </c>
      <c r="J62" s="696"/>
      <c r="K62" s="686"/>
      <c r="L62" s="686"/>
      <c r="M62" s="686"/>
      <c r="N62" s="686"/>
      <c r="O62" s="686"/>
      <c r="P62" s="686"/>
      <c r="Q62" s="686"/>
      <c r="R62" s="686"/>
    </row>
    <row r="63" spans="1:18" ht="12.75" x14ac:dyDescent="0.2">
      <c r="A63" s="381" t="s">
        <v>1207</v>
      </c>
      <c r="B63" s="536"/>
      <c r="C63" s="378">
        <v>80</v>
      </c>
      <c r="D63" s="378">
        <v>55360</v>
      </c>
      <c r="E63" s="378">
        <f>C63*D63</f>
        <v>4428800</v>
      </c>
      <c r="F63" s="568"/>
      <c r="G63" s="378">
        <v>73</v>
      </c>
      <c r="H63" s="378">
        <v>55360</v>
      </c>
      <c r="I63" s="378">
        <f>G63*H63</f>
        <v>4041280</v>
      </c>
      <c r="J63" s="696"/>
      <c r="K63" s="686"/>
      <c r="L63" s="686"/>
      <c r="M63" s="686"/>
      <c r="N63" s="686"/>
      <c r="O63" s="686"/>
      <c r="P63" s="686"/>
      <c r="Q63" s="686"/>
      <c r="R63" s="686"/>
    </row>
    <row r="64" spans="1:18" ht="12.75" x14ac:dyDescent="0.2">
      <c r="A64" s="381" t="s">
        <v>1208</v>
      </c>
      <c r="B64" s="487"/>
      <c r="C64" s="471">
        <v>55</v>
      </c>
      <c r="D64" s="471">
        <v>145000</v>
      </c>
      <c r="E64" s="471">
        <f>C64*D64</f>
        <v>7975000</v>
      </c>
      <c r="F64" s="428"/>
      <c r="G64" s="471"/>
      <c r="H64" s="471"/>
      <c r="I64" s="471"/>
      <c r="J64" s="696"/>
      <c r="K64" s="686"/>
      <c r="L64" s="686"/>
      <c r="M64" s="686"/>
      <c r="N64" s="686"/>
      <c r="O64" s="686"/>
      <c r="P64" s="686"/>
      <c r="Q64" s="686"/>
      <c r="R64" s="686"/>
    </row>
    <row r="65" spans="1:18" ht="12.75" x14ac:dyDescent="0.2">
      <c r="A65" s="381" t="s">
        <v>904</v>
      </c>
      <c r="B65" s="536"/>
      <c r="C65" s="378"/>
      <c r="D65" s="378"/>
      <c r="E65" s="378"/>
      <c r="F65" s="568"/>
      <c r="G65" s="378">
        <v>2</v>
      </c>
      <c r="H65" s="378">
        <v>25000</v>
      </c>
      <c r="I65" s="378">
        <f>G65*H65</f>
        <v>50000</v>
      </c>
      <c r="J65" s="696"/>
      <c r="K65" s="686"/>
      <c r="L65" s="686"/>
      <c r="M65" s="686"/>
      <c r="N65" s="686"/>
      <c r="O65" s="686"/>
      <c r="P65" s="686"/>
      <c r="Q65" s="686"/>
      <c r="R65" s="686"/>
    </row>
    <row r="66" spans="1:18" ht="12.75" x14ac:dyDescent="0.2">
      <c r="A66" s="381" t="s">
        <v>905</v>
      </c>
      <c r="B66" s="536"/>
      <c r="C66" s="378"/>
      <c r="D66" s="378"/>
      <c r="E66" s="378"/>
      <c r="F66" s="568"/>
      <c r="G66" s="378">
        <v>52</v>
      </c>
      <c r="H66" s="378">
        <v>210000</v>
      </c>
      <c r="I66" s="378">
        <f>G66*H66</f>
        <v>10920000</v>
      </c>
      <c r="J66" s="696"/>
      <c r="K66" s="686"/>
      <c r="L66" s="686"/>
      <c r="M66" s="686"/>
      <c r="N66" s="686"/>
      <c r="O66" s="686"/>
      <c r="P66" s="686"/>
      <c r="Q66" s="686"/>
      <c r="R66" s="686"/>
    </row>
    <row r="67" spans="1:18" ht="12.75" x14ac:dyDescent="0.2">
      <c r="A67" s="468" t="s">
        <v>1209</v>
      </c>
      <c r="B67" s="535"/>
      <c r="C67" s="378">
        <v>23</v>
      </c>
      <c r="D67" s="378">
        <v>109000</v>
      </c>
      <c r="E67" s="378">
        <f>C67*D67</f>
        <v>2507000</v>
      </c>
      <c r="F67" s="377"/>
      <c r="G67" s="378">
        <v>25</v>
      </c>
      <c r="H67" s="378">
        <v>109000</v>
      </c>
      <c r="I67" s="378">
        <f>G67*H67</f>
        <v>2725000</v>
      </c>
      <c r="J67" s="696"/>
      <c r="K67" s="686"/>
      <c r="L67" s="686"/>
      <c r="M67" s="686"/>
      <c r="N67" s="686"/>
      <c r="O67" s="686"/>
      <c r="P67" s="686"/>
      <c r="Q67" s="686"/>
      <c r="R67" s="686"/>
    </row>
    <row r="68" spans="1:18" ht="12.75" x14ac:dyDescent="0.2">
      <c r="A68" s="468" t="s">
        <v>1210</v>
      </c>
      <c r="B68" s="535"/>
      <c r="C68" s="378"/>
      <c r="D68" s="378"/>
      <c r="E68" s="378"/>
      <c r="F68" s="377"/>
      <c r="G68" s="378"/>
      <c r="H68" s="378"/>
      <c r="I68" s="378"/>
      <c r="J68" s="696"/>
      <c r="K68" s="686"/>
      <c r="L68" s="686"/>
      <c r="M68" s="686"/>
      <c r="N68" s="686"/>
      <c r="O68" s="686"/>
      <c r="P68" s="686"/>
      <c r="Q68" s="686"/>
      <c r="R68" s="686"/>
    </row>
    <row r="69" spans="1:18" ht="24" x14ac:dyDescent="0.2">
      <c r="A69" s="468" t="s">
        <v>1211</v>
      </c>
      <c r="B69" s="535"/>
      <c r="C69" s="378"/>
      <c r="D69" s="378"/>
      <c r="E69" s="378"/>
      <c r="F69" s="377"/>
      <c r="G69" s="382">
        <v>2</v>
      </c>
      <c r="H69" s="378">
        <v>400000</v>
      </c>
      <c r="I69" s="378">
        <f>G69*H69</f>
        <v>800000</v>
      </c>
      <c r="J69" s="696"/>
      <c r="K69" s="686"/>
      <c r="L69" s="686"/>
      <c r="M69" s="686"/>
      <c r="N69" s="686"/>
      <c r="O69" s="686"/>
      <c r="P69" s="686"/>
      <c r="Q69" s="686"/>
      <c r="R69" s="686"/>
    </row>
    <row r="70" spans="1:18" ht="24" x14ac:dyDescent="0.2">
      <c r="A70" s="468" t="s">
        <v>1212</v>
      </c>
      <c r="B70" s="535"/>
      <c r="C70" s="378"/>
      <c r="D70" s="378"/>
      <c r="E70" s="378"/>
      <c r="F70" s="377"/>
      <c r="G70" s="378">
        <v>52</v>
      </c>
      <c r="H70" s="378">
        <v>120000</v>
      </c>
      <c r="I70" s="378">
        <f>G70*H70</f>
        <v>6240000</v>
      </c>
      <c r="J70" s="696"/>
      <c r="K70" s="686"/>
      <c r="L70" s="686"/>
      <c r="M70" s="686"/>
      <c r="N70" s="686"/>
      <c r="O70" s="686"/>
      <c r="P70" s="686"/>
      <c r="Q70" s="686"/>
      <c r="R70" s="686"/>
    </row>
    <row r="71" spans="1:18" ht="24" x14ac:dyDescent="0.2">
      <c r="A71" s="468" t="s">
        <v>1213</v>
      </c>
      <c r="B71" s="536"/>
      <c r="C71" s="378"/>
      <c r="D71" s="378"/>
      <c r="E71" s="378"/>
      <c r="F71" s="377"/>
      <c r="G71" s="376"/>
      <c r="H71" s="376"/>
      <c r="I71" s="593"/>
      <c r="J71" s="696"/>
      <c r="K71" s="686"/>
      <c r="L71" s="686"/>
      <c r="M71" s="686"/>
      <c r="N71" s="686"/>
      <c r="O71" s="686"/>
      <c r="P71" s="686"/>
      <c r="Q71" s="686"/>
      <c r="R71" s="686"/>
    </row>
    <row r="72" spans="1:18" ht="24" x14ac:dyDescent="0.2">
      <c r="A72" s="468" t="s">
        <v>1248</v>
      </c>
      <c r="B72" s="536"/>
      <c r="C72" s="378">
        <v>15</v>
      </c>
      <c r="D72" s="378">
        <v>2606040</v>
      </c>
      <c r="E72" s="378">
        <f>C72*D72</f>
        <v>39090600</v>
      </c>
      <c r="F72" s="568"/>
      <c r="G72" s="378">
        <v>15</v>
      </c>
      <c r="H72" s="378">
        <v>2606040</v>
      </c>
      <c r="I72" s="378">
        <f>G72*H72</f>
        <v>39090600</v>
      </c>
      <c r="J72" s="696"/>
      <c r="K72" s="686"/>
      <c r="L72" s="686"/>
      <c r="M72" s="686"/>
      <c r="N72" s="686"/>
      <c r="O72" s="686"/>
      <c r="P72" s="686"/>
      <c r="Q72" s="686"/>
      <c r="R72" s="686"/>
    </row>
    <row r="73" spans="1:18" ht="12.75" x14ac:dyDescent="0.2">
      <c r="A73" s="381" t="s">
        <v>1214</v>
      </c>
      <c r="B73" s="487"/>
      <c r="C73" s="471"/>
      <c r="D73" s="471"/>
      <c r="E73" s="474">
        <v>37834000</v>
      </c>
      <c r="F73" s="701"/>
      <c r="G73" s="476"/>
      <c r="H73" s="476"/>
      <c r="I73" s="377">
        <v>40329000</v>
      </c>
      <c r="J73" s="707"/>
      <c r="K73" s="686"/>
      <c r="L73" s="686"/>
      <c r="M73" s="686"/>
      <c r="N73" s="686"/>
      <c r="O73" s="686"/>
      <c r="P73" s="686"/>
      <c r="Q73" s="686"/>
      <c r="R73" s="686"/>
    </row>
    <row r="74" spans="1:18" ht="12.75" x14ac:dyDescent="0.2">
      <c r="A74" s="381" t="s">
        <v>1215</v>
      </c>
      <c r="B74" s="487"/>
      <c r="C74" s="471"/>
      <c r="D74" s="471"/>
      <c r="E74" s="474"/>
      <c r="F74" s="701"/>
      <c r="G74" s="708">
        <v>15</v>
      </c>
      <c r="H74" s="377">
        <v>241960</v>
      </c>
      <c r="I74" s="377">
        <f>G74*H74</f>
        <v>3629400</v>
      </c>
      <c r="J74" s="707"/>
      <c r="K74" s="686"/>
      <c r="L74" s="686"/>
      <c r="M74" s="686"/>
      <c r="N74" s="686"/>
      <c r="O74" s="686"/>
      <c r="P74" s="686"/>
      <c r="Q74" s="686"/>
      <c r="R74" s="686"/>
    </row>
    <row r="75" spans="1:18" ht="12.75" x14ac:dyDescent="0.2">
      <c r="A75" s="381" t="s">
        <v>1216</v>
      </c>
      <c r="B75" s="536"/>
      <c r="C75" s="378"/>
      <c r="D75" s="378"/>
      <c r="E75" s="378"/>
      <c r="F75" s="377"/>
      <c r="G75" s="376"/>
      <c r="H75" s="376"/>
      <c r="I75" s="593"/>
      <c r="J75" s="696"/>
      <c r="K75" s="686"/>
      <c r="L75" s="686"/>
      <c r="M75" s="686"/>
      <c r="N75" s="686"/>
      <c r="O75" s="686"/>
      <c r="P75" s="686"/>
      <c r="Q75" s="686"/>
      <c r="R75" s="686"/>
    </row>
    <row r="76" spans="1:18" ht="12.75" x14ac:dyDescent="0.2">
      <c r="A76" s="381" t="s">
        <v>1217</v>
      </c>
      <c r="B76" s="536"/>
      <c r="C76" s="378"/>
      <c r="D76" s="378"/>
      <c r="E76" s="378"/>
      <c r="F76" s="377"/>
      <c r="G76" s="376"/>
      <c r="H76" s="376"/>
      <c r="I76" s="593"/>
      <c r="J76" s="696"/>
      <c r="K76" s="686"/>
      <c r="L76" s="686"/>
      <c r="M76" s="686"/>
      <c r="N76" s="686"/>
      <c r="O76" s="686"/>
      <c r="P76" s="686"/>
      <c r="Q76" s="686"/>
      <c r="R76" s="686"/>
    </row>
    <row r="77" spans="1:18" ht="12.75" x14ac:dyDescent="0.2">
      <c r="A77" s="381" t="s">
        <v>1218</v>
      </c>
      <c r="B77" s="378"/>
      <c r="C77" s="379">
        <v>12.33</v>
      </c>
      <c r="D77" s="378">
        <v>1632000</v>
      </c>
      <c r="E77" s="378">
        <f>C77*D77</f>
        <v>20122560</v>
      </c>
      <c r="F77" s="614" t="s">
        <v>1249</v>
      </c>
      <c r="G77" s="379">
        <v>14.29</v>
      </c>
      <c r="H77" s="378">
        <v>1900000</v>
      </c>
      <c r="I77" s="378">
        <f>G77*H77</f>
        <v>27151000</v>
      </c>
      <c r="J77" s="709"/>
      <c r="K77" s="686"/>
      <c r="L77" s="686"/>
      <c r="M77" s="686"/>
      <c r="N77" s="686"/>
      <c r="O77" s="686"/>
      <c r="P77" s="686"/>
      <c r="Q77" s="686"/>
      <c r="R77" s="686"/>
    </row>
    <row r="78" spans="1:18" ht="12.75" x14ac:dyDescent="0.2">
      <c r="A78" s="381" t="s">
        <v>1219</v>
      </c>
      <c r="B78" s="471"/>
      <c r="C78" s="471"/>
      <c r="D78" s="471"/>
      <c r="E78" s="474">
        <v>7038795</v>
      </c>
      <c r="F78" s="701"/>
      <c r="G78" s="476"/>
      <c r="H78" s="476"/>
      <c r="I78" s="377">
        <v>22570116</v>
      </c>
      <c r="J78" s="710"/>
      <c r="K78" s="686"/>
      <c r="L78" s="686"/>
      <c r="M78" s="686"/>
      <c r="N78" s="686"/>
      <c r="O78" s="686"/>
      <c r="P78" s="686"/>
      <c r="Q78" s="686"/>
      <c r="R78" s="686"/>
    </row>
    <row r="79" spans="1:18" ht="24" x14ac:dyDescent="0.2">
      <c r="A79" s="468" t="s">
        <v>1220</v>
      </c>
      <c r="B79" s="378"/>
      <c r="C79" s="378"/>
      <c r="D79" s="378"/>
      <c r="E79" s="378"/>
      <c r="F79" s="568"/>
      <c r="G79" s="377">
        <v>136</v>
      </c>
      <c r="H79" s="377">
        <v>285</v>
      </c>
      <c r="I79" s="377">
        <f>G79*H79</f>
        <v>38760</v>
      </c>
      <c r="J79" s="696"/>
      <c r="K79" s="686"/>
      <c r="L79" s="686"/>
      <c r="M79" s="686"/>
      <c r="N79" s="686"/>
      <c r="O79" s="686"/>
      <c r="P79" s="686"/>
      <c r="Q79" s="686"/>
      <c r="R79" s="686"/>
    </row>
    <row r="80" spans="1:18" ht="12.75" x14ac:dyDescent="0.2">
      <c r="A80" s="468" t="s">
        <v>1221</v>
      </c>
      <c r="B80" s="378"/>
      <c r="C80" s="378"/>
      <c r="D80" s="378"/>
      <c r="E80" s="711"/>
      <c r="F80" s="568"/>
      <c r="G80" s="533"/>
      <c r="H80" s="377"/>
      <c r="I80" s="377"/>
      <c r="J80" s="696"/>
      <c r="K80" s="700"/>
      <c r="L80" s="686"/>
      <c r="M80" s="686"/>
      <c r="N80" s="686"/>
      <c r="O80" s="686"/>
      <c r="P80" s="686"/>
      <c r="Q80" s="686"/>
      <c r="R80" s="686"/>
    </row>
    <row r="81" spans="1:257" ht="12.75" x14ac:dyDescent="0.2">
      <c r="A81" s="468" t="s">
        <v>1222</v>
      </c>
      <c r="B81" s="378"/>
      <c r="C81" s="378"/>
      <c r="D81" s="378"/>
      <c r="E81" s="711"/>
      <c r="F81" s="568"/>
      <c r="G81" s="533"/>
      <c r="H81" s="377"/>
      <c r="I81" s="377"/>
      <c r="J81" s="696"/>
      <c r="K81" s="700"/>
      <c r="L81" s="686"/>
      <c r="M81" s="686"/>
      <c r="N81" s="686"/>
      <c r="O81" s="686"/>
      <c r="P81" s="686"/>
      <c r="Q81" s="686"/>
      <c r="R81" s="686"/>
    </row>
    <row r="82" spans="1:257" ht="12.75" x14ac:dyDescent="0.2">
      <c r="A82" s="468" t="s">
        <v>1038</v>
      </c>
      <c r="B82" s="378"/>
      <c r="C82" s="378"/>
      <c r="D82" s="378"/>
      <c r="E82" s="711"/>
      <c r="F82" s="568"/>
      <c r="G82" s="533">
        <v>1.3</v>
      </c>
      <c r="H82" s="377">
        <v>4419000</v>
      </c>
      <c r="I82" s="377">
        <f>G82*H82</f>
        <v>5744700</v>
      </c>
      <c r="J82" s="696"/>
      <c r="K82" s="700"/>
      <c r="L82" s="686"/>
      <c r="M82" s="686"/>
      <c r="N82" s="686"/>
      <c r="O82" s="686"/>
      <c r="P82" s="686"/>
      <c r="Q82" s="686"/>
      <c r="R82" s="686"/>
    </row>
    <row r="83" spans="1:257" ht="24" x14ac:dyDescent="0.2">
      <c r="A83" s="468" t="s">
        <v>1070</v>
      </c>
      <c r="B83" s="378"/>
      <c r="C83" s="378"/>
      <c r="D83" s="378"/>
      <c r="E83" s="711"/>
      <c r="F83" s="568"/>
      <c r="G83" s="533">
        <v>2.5</v>
      </c>
      <c r="H83" s="377">
        <v>2993000</v>
      </c>
      <c r="I83" s="377">
        <f>G83*H83</f>
        <v>7482500</v>
      </c>
      <c r="J83" s="696"/>
      <c r="K83" s="700"/>
      <c r="L83" s="686"/>
      <c r="M83" s="686"/>
      <c r="N83" s="686"/>
      <c r="O83" s="686"/>
      <c r="P83" s="686"/>
      <c r="Q83" s="686"/>
      <c r="R83" s="686"/>
    </row>
    <row r="84" spans="1:257" ht="24" x14ac:dyDescent="0.2">
      <c r="A84" s="468" t="s">
        <v>1223</v>
      </c>
      <c r="B84" s="471"/>
      <c r="C84" s="471"/>
      <c r="D84" s="471"/>
      <c r="E84" s="490"/>
      <c r="F84" s="701"/>
      <c r="G84" s="712"/>
      <c r="H84" s="377">
        <v>0</v>
      </c>
      <c r="I84" s="377">
        <v>10223000</v>
      </c>
      <c r="J84" s="696"/>
      <c r="K84" s="721">
        <f>SUM(I54:I84)</f>
        <v>187035356</v>
      </c>
      <c r="L84" s="5" t="s">
        <v>918</v>
      </c>
      <c r="M84" s="686"/>
      <c r="N84" s="686"/>
      <c r="O84" s="686"/>
      <c r="P84" s="686"/>
      <c r="Q84" s="686"/>
      <c r="R84" s="686"/>
    </row>
    <row r="85" spans="1:257" ht="12.75" x14ac:dyDescent="0.2">
      <c r="A85" s="482"/>
      <c r="B85" s="471"/>
      <c r="C85" s="471"/>
      <c r="D85" s="471"/>
      <c r="E85" s="490"/>
      <c r="F85" s="530"/>
      <c r="G85" s="712"/>
      <c r="H85" s="428"/>
      <c r="I85" s="428"/>
      <c r="J85" s="696"/>
      <c r="K85" s="700"/>
      <c r="L85" s="686"/>
      <c r="M85" s="686"/>
      <c r="N85" s="686"/>
      <c r="O85" s="686"/>
      <c r="P85" s="686"/>
      <c r="Q85" s="686"/>
      <c r="R85" s="686"/>
    </row>
    <row r="86" spans="1:257" ht="12.75" x14ac:dyDescent="0.2">
      <c r="A86" s="381" t="s">
        <v>883</v>
      </c>
      <c r="B86" s="378"/>
      <c r="C86" s="378"/>
      <c r="D86" s="378"/>
      <c r="E86" s="711"/>
      <c r="F86" s="377"/>
      <c r="G86" s="376"/>
      <c r="H86" s="376"/>
      <c r="I86" s="377"/>
      <c r="J86" s="696"/>
      <c r="K86" s="686"/>
      <c r="L86" s="686"/>
      <c r="M86" s="686"/>
      <c r="N86" s="686"/>
      <c r="O86" s="686"/>
      <c r="P86" s="686"/>
      <c r="Q86" s="686"/>
      <c r="R86" s="686"/>
    </row>
    <row r="87" spans="1:257" ht="12.75" x14ac:dyDescent="0.2">
      <c r="A87" s="381" t="s">
        <v>884</v>
      </c>
      <c r="B87" s="378"/>
      <c r="C87" s="378"/>
      <c r="D87" s="378"/>
      <c r="E87" s="711"/>
      <c r="F87" s="377"/>
      <c r="G87" s="376"/>
      <c r="H87" s="376"/>
      <c r="I87" s="377"/>
      <c r="J87" s="696"/>
      <c r="K87" s="686"/>
      <c r="L87" s="686"/>
      <c r="M87" s="686"/>
      <c r="N87" s="686"/>
      <c r="O87" s="686"/>
      <c r="P87" s="686"/>
      <c r="Q87" s="686"/>
      <c r="R87" s="686"/>
    </row>
    <row r="88" spans="1:257" ht="12.75" x14ac:dyDescent="0.2">
      <c r="A88" s="381" t="s">
        <v>885</v>
      </c>
      <c r="B88" s="378"/>
      <c r="C88" s="378">
        <v>4865</v>
      </c>
      <c r="D88" s="378">
        <v>1140</v>
      </c>
      <c r="E88" s="197"/>
      <c r="F88" s="377"/>
      <c r="G88" s="378">
        <v>4747</v>
      </c>
      <c r="H88" s="378">
        <v>1210</v>
      </c>
      <c r="I88" s="197">
        <f>G88*H88</f>
        <v>5743870</v>
      </c>
      <c r="J88" s="696"/>
      <c r="K88" s="686"/>
      <c r="L88" s="686"/>
      <c r="M88" s="686"/>
      <c r="N88" s="686"/>
      <c r="O88" s="686"/>
      <c r="P88" s="686"/>
      <c r="Q88" s="686"/>
      <c r="R88" s="686"/>
    </row>
    <row r="89" spans="1:257" ht="48" x14ac:dyDescent="0.2">
      <c r="A89" s="468" t="s">
        <v>886</v>
      </c>
      <c r="B89" s="471"/>
      <c r="C89" s="471"/>
      <c r="D89" s="471"/>
      <c r="E89" s="491"/>
      <c r="F89" s="568" t="s">
        <v>1041</v>
      </c>
      <c r="G89" s="378" t="s">
        <v>1250</v>
      </c>
      <c r="H89" s="471"/>
      <c r="I89" s="197">
        <v>0</v>
      </c>
      <c r="J89" s="696"/>
      <c r="K89" s="686"/>
      <c r="L89" s="686"/>
      <c r="M89" s="686"/>
      <c r="N89" s="686"/>
      <c r="O89" s="686"/>
      <c r="P89" s="686"/>
      <c r="Q89" s="686"/>
      <c r="R89" s="686"/>
    </row>
    <row r="90" spans="1:257" ht="48" x14ac:dyDescent="0.2">
      <c r="A90" s="468" t="s">
        <v>1042</v>
      </c>
      <c r="B90" s="378"/>
      <c r="C90" s="378"/>
      <c r="D90" s="378"/>
      <c r="E90" s="197"/>
      <c r="F90" s="568" t="s">
        <v>1043</v>
      </c>
      <c r="G90" s="378"/>
      <c r="H90" s="378"/>
      <c r="I90" s="197">
        <v>0</v>
      </c>
      <c r="J90" s="696"/>
      <c r="K90" s="721">
        <f>I88+I89+I90</f>
        <v>5743870</v>
      </c>
      <c r="L90" s="5" t="s">
        <v>919</v>
      </c>
      <c r="M90" s="686"/>
      <c r="N90" s="686"/>
      <c r="O90" s="686"/>
      <c r="P90" s="686"/>
      <c r="Q90" s="686"/>
      <c r="R90" s="686"/>
    </row>
    <row r="91" spans="1:257" ht="12.75" x14ac:dyDescent="0.2">
      <c r="A91" s="713"/>
      <c r="B91" s="487"/>
      <c r="C91" s="493"/>
      <c r="D91" s="471"/>
      <c r="E91" s="471"/>
      <c r="F91" s="538"/>
      <c r="G91" s="476"/>
      <c r="H91" s="476"/>
      <c r="I91" s="428"/>
      <c r="J91" s="696"/>
      <c r="K91" s="700"/>
      <c r="L91" s="700"/>
      <c r="M91" s="714"/>
      <c r="N91" s="688"/>
      <c r="O91" s="686"/>
      <c r="P91" s="686"/>
      <c r="Q91" s="686"/>
      <c r="R91" s="686"/>
    </row>
    <row r="92" spans="1:257" ht="24" x14ac:dyDescent="0.2">
      <c r="A92" s="517" t="s">
        <v>1251</v>
      </c>
      <c r="B92" s="495"/>
      <c r="C92" s="715"/>
      <c r="D92" s="496"/>
      <c r="E92" s="496"/>
      <c r="F92" s="543"/>
      <c r="G92" s="499"/>
      <c r="H92" s="499"/>
      <c r="I92" s="545">
        <v>0</v>
      </c>
      <c r="J92" s="696"/>
      <c r="K92" s="477">
        <v>0</v>
      </c>
      <c r="L92" s="477" t="s">
        <v>920</v>
      </c>
      <c r="M92" s="714"/>
      <c r="N92" s="688"/>
      <c r="O92" s="686"/>
      <c r="P92" s="686"/>
      <c r="Q92" s="686"/>
      <c r="R92" s="686"/>
    </row>
    <row r="93" spans="1:257" ht="13.5" thickBot="1" x14ac:dyDescent="0.25">
      <c r="A93" s="716"/>
      <c r="B93" s="495"/>
      <c r="C93" s="715"/>
      <c r="D93" s="496"/>
      <c r="E93" s="496"/>
      <c r="F93" s="495"/>
      <c r="G93" s="499"/>
      <c r="H93" s="499"/>
      <c r="I93" s="498"/>
      <c r="J93" s="696"/>
      <c r="K93" s="700"/>
      <c r="L93" s="700"/>
      <c r="M93" s="686"/>
      <c r="N93" s="688"/>
      <c r="O93" s="686"/>
      <c r="P93" s="686"/>
      <c r="Q93" s="686"/>
      <c r="R93" s="686"/>
    </row>
    <row r="94" spans="1:257" ht="12.75" thickBot="1" x14ac:dyDescent="0.25">
      <c r="A94" s="500" t="s">
        <v>888</v>
      </c>
      <c r="B94" s="717"/>
      <c r="C94" s="717"/>
      <c r="D94" s="718"/>
      <c r="E94" s="719" t="e">
        <f>E9+E11+E14+E17+E20+E25+E28+E31+E39+E40+#REF!+E41+E43+E46+E47+E49+E54+E55+E59+E60+E63+E64+E67+#REF!+E72+E73+E77+E78</f>
        <v>#REF!</v>
      </c>
      <c r="F94" s="1439">
        <f>I9+I13+I16+I19+I22+I25+I28+I31+I32+I51+I39+I40+I41+I42+I43+I44+I46+I69+I47+L70+I49+I50+I54+I55+I62+I63+I65+I66+I67+I72+I73+I77+I78+I79+I82+I83+I84+I88+I89+I90+I92+I74+I70</f>
        <v>882563602</v>
      </c>
      <c r="G94" s="1439"/>
      <c r="H94" s="1439"/>
      <c r="I94" s="1440"/>
      <c r="J94" s="692"/>
      <c r="K94" s="722">
        <f>K84+K51+K34+K90-K92</f>
        <v>882563602</v>
      </c>
      <c r="L94" s="546" t="s">
        <v>1224</v>
      </c>
      <c r="M94" s="692"/>
      <c r="N94" s="692"/>
      <c r="O94" s="692"/>
      <c r="P94" s="692"/>
      <c r="Q94" s="692"/>
      <c r="R94" s="692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6"/>
      <c r="FV94" s="6"/>
      <c r="FW94" s="6"/>
      <c r="FX94" s="6"/>
      <c r="FY94" s="6"/>
      <c r="FZ94" s="6"/>
      <c r="GA94" s="6"/>
      <c r="GB94" s="6"/>
      <c r="GC94" s="6"/>
      <c r="GD94" s="6"/>
      <c r="GE94" s="6"/>
      <c r="GF94" s="6"/>
      <c r="GG94" s="6"/>
      <c r="GH94" s="6"/>
      <c r="GI94" s="6"/>
      <c r="GJ94" s="6"/>
      <c r="GK94" s="6"/>
      <c r="GL94" s="6"/>
      <c r="GM94" s="6"/>
      <c r="GN94" s="6"/>
      <c r="GO94" s="6"/>
      <c r="GP94" s="6"/>
      <c r="GQ94" s="6"/>
      <c r="GR94" s="6"/>
      <c r="GS94" s="6"/>
      <c r="GT94" s="6"/>
      <c r="GU94" s="6"/>
      <c r="GV94" s="6"/>
      <c r="GW94" s="6"/>
      <c r="GX94" s="6"/>
      <c r="GY94" s="6"/>
      <c r="GZ94" s="6"/>
      <c r="HA94" s="6"/>
      <c r="HB94" s="6"/>
      <c r="HC94" s="6"/>
      <c r="HD94" s="6"/>
      <c r="HE94" s="6"/>
      <c r="HF94" s="6"/>
      <c r="HG94" s="6"/>
      <c r="HH94" s="6"/>
      <c r="HI94" s="6"/>
      <c r="HJ94" s="6"/>
      <c r="HK94" s="6"/>
      <c r="HL94" s="6"/>
      <c r="HM94" s="6"/>
      <c r="HN94" s="6"/>
      <c r="HO94" s="6"/>
      <c r="HP94" s="6"/>
      <c r="HQ94" s="6"/>
      <c r="HR94" s="6"/>
      <c r="HS94" s="6"/>
      <c r="HT94" s="6"/>
      <c r="HU94" s="6"/>
      <c r="HV94" s="6"/>
      <c r="HW94" s="6"/>
      <c r="HX94" s="6"/>
      <c r="HY94" s="6"/>
      <c r="HZ94" s="6"/>
      <c r="IA94" s="6"/>
      <c r="IB94" s="6"/>
      <c r="IC94" s="6"/>
      <c r="ID94" s="6"/>
      <c r="IE94" s="6"/>
      <c r="IF94" s="6"/>
      <c r="IG94" s="6"/>
      <c r="IH94" s="6"/>
      <c r="II94" s="6"/>
      <c r="IJ94" s="6"/>
      <c r="IK94" s="6"/>
      <c r="IL94" s="6"/>
      <c r="IM94" s="6"/>
      <c r="IN94" s="6"/>
      <c r="IO94" s="6"/>
      <c r="IP94" s="6"/>
      <c r="IQ94" s="6"/>
      <c r="IR94" s="6"/>
      <c r="IS94" s="6"/>
      <c r="IT94" s="6"/>
      <c r="IU94" s="6"/>
      <c r="IV94" s="6"/>
      <c r="IW94" s="6"/>
    </row>
    <row r="96" spans="1:257" ht="15.75" x14ac:dyDescent="0.2">
      <c r="A96" s="547"/>
      <c r="B96" s="548"/>
      <c r="C96" s="548"/>
      <c r="D96" s="548"/>
      <c r="E96" s="549"/>
      <c r="F96" s="550"/>
      <c r="G96" s="550"/>
      <c r="H96" s="550"/>
      <c r="I96" s="550"/>
    </row>
    <row r="97" spans="1:1" ht="12.75" x14ac:dyDescent="0.2">
      <c r="A97" s="590"/>
    </row>
  </sheetData>
  <mergeCells count="8">
    <mergeCell ref="F94:I94"/>
    <mergeCell ref="A1:I1"/>
    <mergeCell ref="F2:I2"/>
    <mergeCell ref="A4:I4"/>
    <mergeCell ref="A3:I3"/>
    <mergeCell ref="A5:A6"/>
    <mergeCell ref="B5:E5"/>
    <mergeCell ref="F5:I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29" customWidth="1"/>
    <col min="2" max="2" width="9.85546875" style="129" hidden="1" customWidth="1"/>
    <col min="3" max="3" width="11.7109375" style="129" hidden="1" customWidth="1"/>
    <col min="4" max="4" width="9.85546875" style="129" hidden="1" customWidth="1"/>
    <col min="5" max="5" width="15.85546875" style="133" hidden="1" customWidth="1"/>
    <col min="6" max="6" width="16" style="5" customWidth="1"/>
    <col min="7" max="7" width="12.85546875" style="5" customWidth="1"/>
    <col min="8" max="8" width="10" style="5" bestFit="1" customWidth="1"/>
    <col min="9" max="9" width="11.42578125" style="5" bestFit="1" customWidth="1"/>
    <col min="10" max="10" width="10" style="5" bestFit="1" customWidth="1"/>
    <col min="11" max="12" width="11.42578125" style="5" bestFit="1" customWidth="1"/>
    <col min="13" max="255" width="8" style="5" customWidth="1"/>
    <col min="256" max="16384" width="61.7109375" style="5"/>
  </cols>
  <sheetData>
    <row r="1" spans="1:10" ht="12.75" x14ac:dyDescent="0.2">
      <c r="B1" s="1452" t="s">
        <v>294</v>
      </c>
      <c r="C1" s="1452"/>
      <c r="D1" s="1452"/>
      <c r="E1" s="1452"/>
    </row>
    <row r="2" spans="1:10" x14ac:dyDescent="0.2">
      <c r="F2" s="1459"/>
      <c r="G2" s="1459"/>
      <c r="H2" s="1459"/>
      <c r="I2" s="1459"/>
    </row>
    <row r="4" spans="1:10" ht="12.75" x14ac:dyDescent="0.2">
      <c r="A4" s="1453" t="s">
        <v>77</v>
      </c>
      <c r="B4" s="1453"/>
      <c r="C4" s="1453"/>
      <c r="D4" s="1453"/>
      <c r="E4" s="1453"/>
      <c r="F4" s="1454"/>
      <c r="G4" s="1454"/>
      <c r="H4" s="1454"/>
      <c r="I4" s="1454"/>
    </row>
    <row r="5" spans="1:10" ht="12.75" x14ac:dyDescent="0.2">
      <c r="A5" s="1453" t="s">
        <v>899</v>
      </c>
      <c r="B5" s="1453"/>
      <c r="C5" s="1453"/>
      <c r="D5" s="1453"/>
      <c r="E5" s="1453"/>
      <c r="F5" s="1454"/>
      <c r="G5" s="1454"/>
      <c r="H5" s="1454"/>
      <c r="I5" s="1454"/>
    </row>
    <row r="7" spans="1:10" ht="13.5" thickBot="1" x14ac:dyDescent="0.25">
      <c r="E7" s="374" t="s">
        <v>20</v>
      </c>
      <c r="F7" s="385"/>
    </row>
    <row r="8" spans="1:10" ht="12.75" customHeight="1" thickBot="1" x14ac:dyDescent="0.25">
      <c r="A8" s="1455" t="s">
        <v>78</v>
      </c>
      <c r="B8" s="1457" t="s">
        <v>107</v>
      </c>
      <c r="C8" s="1458"/>
      <c r="D8" s="1458"/>
      <c r="E8" s="1458"/>
      <c r="F8" s="1457" t="s">
        <v>910</v>
      </c>
      <c r="G8" s="1458"/>
      <c r="H8" s="1458"/>
      <c r="I8" s="1458"/>
    </row>
    <row r="9" spans="1:10" s="6" customFormat="1" ht="49.5" customHeight="1" thickBot="1" x14ac:dyDescent="0.25">
      <c r="A9" s="1456"/>
      <c r="B9" s="194" t="s">
        <v>79</v>
      </c>
      <c r="C9" s="130" t="s">
        <v>80</v>
      </c>
      <c r="D9" s="130" t="s">
        <v>682</v>
      </c>
      <c r="E9" s="195" t="s">
        <v>81</v>
      </c>
      <c r="F9" s="194" t="s">
        <v>79</v>
      </c>
      <c r="G9" s="130" t="s">
        <v>80</v>
      </c>
      <c r="H9" s="130" t="s">
        <v>682</v>
      </c>
      <c r="I9" s="195" t="s">
        <v>81</v>
      </c>
    </row>
    <row r="10" spans="1:10" ht="13.5" customHeight="1" x14ac:dyDescent="0.2">
      <c r="A10" s="386" t="s">
        <v>82</v>
      </c>
      <c r="B10" s="387"/>
      <c r="C10" s="387"/>
      <c r="D10" s="387"/>
      <c r="E10" s="387"/>
      <c r="F10" s="388"/>
      <c r="G10" s="388"/>
      <c r="H10" s="388"/>
      <c r="I10" s="388"/>
      <c r="J10" s="409"/>
    </row>
    <row r="11" spans="1:10" ht="13.5" customHeight="1" x14ac:dyDescent="0.2">
      <c r="A11" s="131" t="s">
        <v>820</v>
      </c>
      <c r="B11" s="132"/>
      <c r="C11" s="132"/>
      <c r="D11" s="132"/>
      <c r="E11" s="132"/>
      <c r="F11" s="375"/>
      <c r="G11" s="375"/>
      <c r="H11" s="375"/>
      <c r="I11" s="375"/>
      <c r="J11" s="409"/>
    </row>
    <row r="12" spans="1:10" ht="30.75" customHeight="1" x14ac:dyDescent="0.2">
      <c r="A12" s="468" t="s">
        <v>821</v>
      </c>
      <c r="B12" s="378">
        <v>4865</v>
      </c>
      <c r="C12" s="469">
        <v>18.690000000000001</v>
      </c>
      <c r="D12" s="378">
        <v>4580000</v>
      </c>
      <c r="E12" s="378">
        <f>C12*D12</f>
        <v>85600200</v>
      </c>
      <c r="F12" s="377">
        <v>4837</v>
      </c>
      <c r="G12" s="376">
        <v>18.62</v>
      </c>
      <c r="H12" s="376">
        <v>4580000</v>
      </c>
      <c r="I12" s="377">
        <f>G12*H12</f>
        <v>85279600</v>
      </c>
      <c r="J12" s="409"/>
    </row>
    <row r="13" spans="1:10" ht="13.5" customHeight="1" x14ac:dyDescent="0.2">
      <c r="A13" s="381" t="s">
        <v>822</v>
      </c>
      <c r="B13" s="378"/>
      <c r="C13" s="378"/>
      <c r="D13" s="378"/>
      <c r="E13" s="378"/>
      <c r="F13" s="377"/>
      <c r="G13" s="376"/>
      <c r="H13" s="376"/>
      <c r="I13" s="377"/>
      <c r="J13" s="409"/>
    </row>
    <row r="14" spans="1:10" ht="30" customHeight="1" x14ac:dyDescent="0.2">
      <c r="A14" s="468" t="s">
        <v>823</v>
      </c>
      <c r="B14" s="378"/>
      <c r="C14" s="379"/>
      <c r="D14" s="378" t="s">
        <v>295</v>
      </c>
      <c r="E14" s="378">
        <v>8328800</v>
      </c>
      <c r="F14" s="377"/>
      <c r="G14" s="376"/>
      <c r="H14" s="376" t="s">
        <v>295</v>
      </c>
      <c r="I14" s="377">
        <v>8329050</v>
      </c>
      <c r="J14" s="409"/>
    </row>
    <row r="15" spans="1:10" ht="30" customHeight="1" x14ac:dyDescent="0.2">
      <c r="A15" s="468" t="s">
        <v>824</v>
      </c>
      <c r="B15" s="378"/>
      <c r="C15" s="379"/>
      <c r="D15" s="378"/>
      <c r="E15" s="378"/>
      <c r="F15" s="377"/>
      <c r="G15" s="376"/>
      <c r="H15" s="376"/>
      <c r="I15" s="377">
        <v>-8329050</v>
      </c>
      <c r="J15" s="409"/>
    </row>
    <row r="16" spans="1:10" ht="30" customHeight="1" x14ac:dyDescent="0.2">
      <c r="A16" s="468" t="s">
        <v>825</v>
      </c>
      <c r="B16" s="378"/>
      <c r="C16" s="379"/>
      <c r="D16" s="378"/>
      <c r="E16" s="378"/>
      <c r="F16" s="377"/>
      <c r="G16" s="376"/>
      <c r="H16" s="376"/>
      <c r="I16" s="377">
        <f>I14+I15</f>
        <v>0</v>
      </c>
      <c r="J16" s="409"/>
    </row>
    <row r="17" spans="1:10" ht="16.5" customHeight="1" x14ac:dyDescent="0.2">
      <c r="A17" s="381" t="s">
        <v>826</v>
      </c>
      <c r="B17" s="378"/>
      <c r="C17" s="378"/>
      <c r="D17" s="470" t="s">
        <v>296</v>
      </c>
      <c r="E17" s="378">
        <v>18272000</v>
      </c>
      <c r="F17" s="377"/>
      <c r="G17" s="376"/>
      <c r="H17" s="376" t="s">
        <v>297</v>
      </c>
      <c r="I17" s="377">
        <v>18304000</v>
      </c>
      <c r="J17" s="409"/>
    </row>
    <row r="18" spans="1:10" ht="16.5" customHeight="1" x14ac:dyDescent="0.2">
      <c r="A18" s="381" t="s">
        <v>824</v>
      </c>
      <c r="B18" s="378"/>
      <c r="C18" s="378"/>
      <c r="D18" s="470"/>
      <c r="E18" s="378"/>
      <c r="F18" s="377"/>
      <c r="G18" s="376"/>
      <c r="H18" s="376"/>
      <c r="I18" s="377">
        <v>-18304000</v>
      </c>
      <c r="J18" s="409"/>
    </row>
    <row r="19" spans="1:10" ht="16.5" customHeight="1" x14ac:dyDescent="0.2">
      <c r="A19" s="381" t="s">
        <v>827</v>
      </c>
      <c r="B19" s="378"/>
      <c r="C19" s="378"/>
      <c r="D19" s="470"/>
      <c r="E19" s="378"/>
      <c r="F19" s="377"/>
      <c r="G19" s="376"/>
      <c r="H19" s="376"/>
      <c r="I19" s="377">
        <f>I17+I18</f>
        <v>0</v>
      </c>
      <c r="J19" s="409"/>
    </row>
    <row r="20" spans="1:10" ht="13.5" customHeight="1" x14ac:dyDescent="0.2">
      <c r="A20" s="381" t="s">
        <v>828</v>
      </c>
      <c r="B20" s="471"/>
      <c r="C20" s="471" t="s">
        <v>829</v>
      </c>
      <c r="D20" s="472" t="s">
        <v>683</v>
      </c>
      <c r="E20" s="471">
        <v>1355022</v>
      </c>
      <c r="F20" s="428"/>
      <c r="G20" s="471"/>
      <c r="H20" s="473" t="s">
        <v>683</v>
      </c>
      <c r="I20" s="377">
        <v>1355022</v>
      </c>
      <c r="J20" s="409"/>
    </row>
    <row r="21" spans="1:10" ht="13.5" customHeight="1" x14ac:dyDescent="0.2">
      <c r="A21" s="381" t="s">
        <v>830</v>
      </c>
      <c r="B21" s="471"/>
      <c r="C21" s="471"/>
      <c r="D21" s="472"/>
      <c r="E21" s="471"/>
      <c r="F21" s="428"/>
      <c r="G21" s="471"/>
      <c r="H21" s="473"/>
      <c r="I21" s="377">
        <v>-1355022</v>
      </c>
      <c r="J21" s="409"/>
    </row>
    <row r="22" spans="1:10" ht="13.5" customHeight="1" x14ac:dyDescent="0.2">
      <c r="A22" s="381" t="s">
        <v>831</v>
      </c>
      <c r="B22" s="471"/>
      <c r="C22" s="471"/>
      <c r="D22" s="472"/>
      <c r="E22" s="471"/>
      <c r="F22" s="428"/>
      <c r="G22" s="471"/>
      <c r="H22" s="473"/>
      <c r="I22" s="377">
        <f>I20+I21</f>
        <v>0</v>
      </c>
      <c r="J22" s="409"/>
    </row>
    <row r="23" spans="1:10" ht="13.5" customHeight="1" x14ac:dyDescent="0.2">
      <c r="A23" s="381" t="s">
        <v>832</v>
      </c>
      <c r="B23" s="378"/>
      <c r="C23" s="379"/>
      <c r="D23" s="470" t="s">
        <v>684</v>
      </c>
      <c r="E23" s="378">
        <v>6369620</v>
      </c>
      <c r="F23" s="377"/>
      <c r="G23" s="376"/>
      <c r="H23" s="470" t="s">
        <v>684</v>
      </c>
      <c r="I23" s="377">
        <v>6369620</v>
      </c>
      <c r="J23" s="409"/>
    </row>
    <row r="24" spans="1:10" ht="13.5" customHeight="1" x14ac:dyDescent="0.2">
      <c r="A24" s="381" t="s">
        <v>830</v>
      </c>
      <c r="B24" s="378"/>
      <c r="C24" s="379"/>
      <c r="D24" s="470"/>
      <c r="E24" s="378"/>
      <c r="F24" s="377"/>
      <c r="G24" s="376"/>
      <c r="H24" s="470"/>
      <c r="I24" s="377">
        <v>-6369620</v>
      </c>
      <c r="J24" s="409"/>
    </row>
    <row r="25" spans="1:10" ht="13.5" customHeight="1" x14ac:dyDescent="0.2">
      <c r="A25" s="381" t="s">
        <v>833</v>
      </c>
      <c r="B25" s="378"/>
      <c r="C25" s="379"/>
      <c r="D25" s="470"/>
      <c r="E25" s="378"/>
      <c r="F25" s="377"/>
      <c r="G25" s="376"/>
      <c r="H25" s="470"/>
      <c r="I25" s="377">
        <f>I23+I24</f>
        <v>0</v>
      </c>
      <c r="J25" s="409"/>
    </row>
    <row r="26" spans="1:10" ht="13.5" customHeight="1" x14ac:dyDescent="0.2">
      <c r="A26" s="381" t="s">
        <v>834</v>
      </c>
      <c r="B26" s="378">
        <v>4865</v>
      </c>
      <c r="C26" s="378"/>
      <c r="D26" s="378">
        <v>2700</v>
      </c>
      <c r="E26" s="378">
        <f>B26*D26</f>
        <v>13135500</v>
      </c>
      <c r="F26" s="377">
        <v>4837</v>
      </c>
      <c r="G26" s="376"/>
      <c r="H26" s="378">
        <v>2700</v>
      </c>
      <c r="I26" s="377">
        <f>F26*H26</f>
        <v>13059900</v>
      </c>
      <c r="J26" s="409"/>
    </row>
    <row r="27" spans="1:10" ht="13.5" customHeight="1" x14ac:dyDescent="0.2">
      <c r="A27" s="381" t="s">
        <v>835</v>
      </c>
      <c r="B27" s="378"/>
      <c r="C27" s="378"/>
      <c r="D27" s="378"/>
      <c r="E27" s="378">
        <v>-13135500</v>
      </c>
      <c r="F27" s="377"/>
      <c r="G27" s="376"/>
      <c r="H27" s="376"/>
      <c r="I27" s="377">
        <v>-13059900</v>
      </c>
      <c r="J27" s="409"/>
    </row>
    <row r="28" spans="1:10" ht="13.5" customHeight="1" x14ac:dyDescent="0.2">
      <c r="A28" s="381" t="s">
        <v>836</v>
      </c>
      <c r="B28" s="378"/>
      <c r="C28" s="378"/>
      <c r="D28" s="378"/>
      <c r="E28" s="378">
        <f>E26+E27</f>
        <v>0</v>
      </c>
      <c r="F28" s="377"/>
      <c r="G28" s="376"/>
      <c r="H28" s="376"/>
      <c r="I28" s="377">
        <f>I26+I27</f>
        <v>0</v>
      </c>
      <c r="J28" s="409"/>
    </row>
    <row r="29" spans="1:10" ht="13.5" customHeight="1" x14ac:dyDescent="0.2">
      <c r="A29" s="381" t="s">
        <v>837</v>
      </c>
      <c r="B29" s="471">
        <v>10</v>
      </c>
      <c r="C29" s="471"/>
      <c r="D29" s="471" t="s">
        <v>298</v>
      </c>
      <c r="E29" s="474">
        <v>25500</v>
      </c>
      <c r="F29" s="377">
        <v>11</v>
      </c>
      <c r="G29" s="376"/>
      <c r="H29" s="378" t="s">
        <v>298</v>
      </c>
      <c r="I29" s="377">
        <v>28050</v>
      </c>
      <c r="J29" s="409"/>
    </row>
    <row r="30" spans="1:10" ht="13.5" customHeight="1" x14ac:dyDescent="0.2">
      <c r="A30" s="381" t="s">
        <v>838</v>
      </c>
      <c r="B30" s="471"/>
      <c r="C30" s="471"/>
      <c r="D30" s="471"/>
      <c r="E30" s="474">
        <v>-25500</v>
      </c>
      <c r="F30" s="377"/>
      <c r="G30" s="376"/>
      <c r="H30" s="376"/>
      <c r="I30" s="377">
        <v>-28050</v>
      </c>
      <c r="J30" s="409"/>
    </row>
    <row r="31" spans="1:10" ht="13.5" customHeight="1" x14ac:dyDescent="0.2">
      <c r="A31" s="381" t="s">
        <v>839</v>
      </c>
      <c r="B31" s="471"/>
      <c r="C31" s="471"/>
      <c r="D31" s="471"/>
      <c r="E31" s="474">
        <v>0</v>
      </c>
      <c r="F31" s="377"/>
      <c r="G31" s="376"/>
      <c r="H31" s="376"/>
      <c r="I31" s="377">
        <f>I29+I30</f>
        <v>0</v>
      </c>
      <c r="J31" s="409"/>
    </row>
    <row r="32" spans="1:10" ht="13.5" customHeight="1" x14ac:dyDescent="0.2">
      <c r="A32" s="381" t="s">
        <v>840</v>
      </c>
      <c r="B32" s="378"/>
      <c r="C32" s="378">
        <v>487729000</v>
      </c>
      <c r="D32" s="379">
        <v>1.55</v>
      </c>
      <c r="E32" s="378">
        <f>C32*D32</f>
        <v>755979950</v>
      </c>
      <c r="F32" s="377"/>
      <c r="G32" s="519">
        <v>482296000</v>
      </c>
      <c r="H32" s="520">
        <v>1.55</v>
      </c>
      <c r="I32" s="519">
        <f>G32*H32</f>
        <v>747558800</v>
      </c>
      <c r="J32" s="409"/>
    </row>
    <row r="33" spans="1:11" ht="13.5" customHeight="1" x14ac:dyDescent="0.2">
      <c r="A33" s="381" t="s">
        <v>835</v>
      </c>
      <c r="B33" s="378"/>
      <c r="C33" s="378"/>
      <c r="D33" s="382"/>
      <c r="E33" s="378">
        <v>-98054262</v>
      </c>
      <c r="F33" s="377"/>
      <c r="G33" s="376"/>
      <c r="H33" s="376"/>
      <c r="I33" s="377">
        <v>-69343482</v>
      </c>
      <c r="J33" s="409"/>
    </row>
    <row r="34" spans="1:11" ht="13.5" customHeight="1" x14ac:dyDescent="0.2">
      <c r="A34" s="381" t="s">
        <v>841</v>
      </c>
      <c r="B34" s="378"/>
      <c r="C34" s="378"/>
      <c r="D34" s="382"/>
      <c r="E34" s="378">
        <f>E32+E33</f>
        <v>657925688</v>
      </c>
      <c r="F34" s="377"/>
      <c r="G34" s="376"/>
      <c r="H34" s="376"/>
      <c r="I34" s="377">
        <f>I32+I33</f>
        <v>678215318</v>
      </c>
      <c r="J34" s="409"/>
    </row>
    <row r="35" spans="1:11" ht="13.5" customHeight="1" x14ac:dyDescent="0.2">
      <c r="A35" s="475" t="s">
        <v>842</v>
      </c>
      <c r="B35" s="471"/>
      <c r="C35" s="471"/>
      <c r="D35" s="471"/>
      <c r="E35" s="471">
        <v>0</v>
      </c>
      <c r="F35" s="428"/>
      <c r="G35" s="476"/>
      <c r="H35" s="476"/>
      <c r="I35" s="428">
        <v>0</v>
      </c>
      <c r="J35" s="409"/>
    </row>
    <row r="36" spans="1:11" ht="13.5" customHeight="1" x14ac:dyDescent="0.2">
      <c r="A36" s="475"/>
      <c r="B36" s="471"/>
      <c r="C36" s="471"/>
      <c r="D36" s="471"/>
      <c r="E36" s="471"/>
      <c r="F36" s="428"/>
      <c r="G36" s="476"/>
      <c r="H36" s="476"/>
      <c r="I36" s="428"/>
      <c r="J36" s="409"/>
      <c r="K36" s="477"/>
    </row>
    <row r="37" spans="1:11" ht="24.95" customHeight="1" x14ac:dyDescent="0.2">
      <c r="A37" s="478" t="s">
        <v>83</v>
      </c>
      <c r="B37" s="471"/>
      <c r="C37" s="471"/>
      <c r="D37" s="471"/>
      <c r="E37" s="471"/>
      <c r="F37" s="428"/>
      <c r="G37" s="476"/>
      <c r="H37" s="476"/>
      <c r="I37" s="428"/>
      <c r="J37" s="409"/>
    </row>
    <row r="38" spans="1:11" ht="15" customHeight="1" x14ac:dyDescent="0.2">
      <c r="A38" s="468" t="s">
        <v>843</v>
      </c>
      <c r="B38" s="471"/>
      <c r="C38" s="471"/>
      <c r="D38" s="471"/>
      <c r="E38" s="471"/>
      <c r="F38" s="428"/>
      <c r="G38" s="476"/>
      <c r="H38" s="476"/>
      <c r="I38" s="428"/>
      <c r="J38" s="409"/>
    </row>
    <row r="39" spans="1:11" ht="24" customHeight="1" x14ac:dyDescent="0.2">
      <c r="A39" s="468" t="s">
        <v>844</v>
      </c>
      <c r="B39" s="378"/>
      <c r="C39" s="379">
        <v>13.1</v>
      </c>
      <c r="D39" s="378">
        <v>4152000</v>
      </c>
      <c r="E39" s="378">
        <f>C39*D39*8/12</f>
        <v>36260800</v>
      </c>
      <c r="F39" s="377"/>
      <c r="G39" s="376">
        <v>13.3</v>
      </c>
      <c r="H39" s="377">
        <v>4308000</v>
      </c>
      <c r="I39" s="377">
        <f>G39*8/12*4308000</f>
        <v>38197600</v>
      </c>
      <c r="J39" s="409"/>
    </row>
    <row r="40" spans="1:11" ht="24" customHeight="1" x14ac:dyDescent="0.2">
      <c r="A40" s="468" t="s">
        <v>845</v>
      </c>
      <c r="B40" s="378"/>
      <c r="C40" s="379">
        <v>13.1</v>
      </c>
      <c r="D40" s="380">
        <v>4152000</v>
      </c>
      <c r="E40" s="378">
        <f>C40*D40*4/12</f>
        <v>18130400</v>
      </c>
      <c r="F40" s="377"/>
      <c r="G40" s="479">
        <v>13.4</v>
      </c>
      <c r="H40" s="377">
        <v>4308000</v>
      </c>
      <c r="I40" s="377">
        <f>G40*4/12*H40</f>
        <v>19242400</v>
      </c>
      <c r="J40" s="409"/>
    </row>
    <row r="41" spans="1:11" ht="24.95" customHeight="1" x14ac:dyDescent="0.2">
      <c r="A41" s="468" t="s">
        <v>911</v>
      </c>
      <c r="B41" s="471"/>
      <c r="C41" s="480">
        <v>13.1</v>
      </c>
      <c r="D41" s="481">
        <v>35000</v>
      </c>
      <c r="E41" s="471">
        <f>C41*D41</f>
        <v>458500</v>
      </c>
      <c r="F41" s="428"/>
      <c r="G41" s="479">
        <v>13.4</v>
      </c>
      <c r="H41" s="377">
        <v>35000</v>
      </c>
      <c r="I41" s="377">
        <f>G41*H41</f>
        <v>469000</v>
      </c>
      <c r="J41" s="409"/>
    </row>
    <row r="42" spans="1:11" ht="24.95" customHeight="1" x14ac:dyDescent="0.2">
      <c r="A42" s="468" t="s">
        <v>846</v>
      </c>
      <c r="B42" s="471"/>
      <c r="C42" s="471">
        <v>10</v>
      </c>
      <c r="D42" s="471">
        <v>1800000</v>
      </c>
      <c r="E42" s="474">
        <f>C42*D42*8/12</f>
        <v>12000000</v>
      </c>
      <c r="F42" s="428"/>
      <c r="G42" s="479">
        <v>9</v>
      </c>
      <c r="H42" s="377">
        <v>1800000</v>
      </c>
      <c r="I42" s="377">
        <f>G42*H42*8/12</f>
        <v>10800000</v>
      </c>
      <c r="J42" s="409"/>
    </row>
    <row r="43" spans="1:11" ht="35.25" customHeight="1" x14ac:dyDescent="0.2">
      <c r="A43" s="482" t="s">
        <v>847</v>
      </c>
      <c r="B43" s="471"/>
      <c r="C43" s="471"/>
      <c r="D43" s="471"/>
      <c r="E43" s="474"/>
      <c r="F43" s="428"/>
      <c r="G43" s="479">
        <v>1</v>
      </c>
      <c r="H43" s="377">
        <v>4308000</v>
      </c>
      <c r="I43" s="377">
        <f>G43*H43*8/12</f>
        <v>2872000</v>
      </c>
      <c r="J43" s="409"/>
    </row>
    <row r="44" spans="1:11" ht="35.25" customHeight="1" x14ac:dyDescent="0.2">
      <c r="A44" s="468" t="s">
        <v>848</v>
      </c>
      <c r="B44" s="471"/>
      <c r="C44" s="471">
        <v>10</v>
      </c>
      <c r="D44" s="471">
        <v>1800000</v>
      </c>
      <c r="E44" s="471">
        <f>C44*D44*4/12</f>
        <v>6000000</v>
      </c>
      <c r="F44" s="428"/>
      <c r="G44" s="479">
        <v>9</v>
      </c>
      <c r="H44" s="377">
        <v>1800000</v>
      </c>
      <c r="I44" s="377">
        <f>G44*H44*4/12</f>
        <v>5400000</v>
      </c>
      <c r="J44" s="410"/>
    </row>
    <row r="45" spans="1:11" ht="35.25" customHeight="1" x14ac:dyDescent="0.2">
      <c r="A45" s="468" t="s">
        <v>849</v>
      </c>
      <c r="B45" s="471"/>
      <c r="C45" s="471"/>
      <c r="D45" s="471"/>
      <c r="E45" s="471"/>
      <c r="F45" s="428"/>
      <c r="G45" s="479">
        <v>1</v>
      </c>
      <c r="H45" s="377">
        <v>4308000</v>
      </c>
      <c r="I45" s="377">
        <f>G45*H45*4/12</f>
        <v>1436000</v>
      </c>
      <c r="J45" s="410"/>
    </row>
    <row r="46" spans="1:11" ht="13.5" customHeight="1" x14ac:dyDescent="0.2">
      <c r="A46" s="468" t="s">
        <v>850</v>
      </c>
      <c r="B46" s="471"/>
      <c r="C46" s="471"/>
      <c r="D46" s="471"/>
      <c r="E46" s="471"/>
      <c r="F46" s="428"/>
      <c r="G46" s="479">
        <v>1</v>
      </c>
      <c r="H46" s="377">
        <v>35000</v>
      </c>
      <c r="I46" s="377">
        <f>G46*H46</f>
        <v>35000</v>
      </c>
      <c r="J46" s="410"/>
    </row>
    <row r="47" spans="1:11" ht="13.5" customHeight="1" x14ac:dyDescent="0.2">
      <c r="A47" s="381" t="s">
        <v>851</v>
      </c>
      <c r="B47" s="471"/>
      <c r="C47" s="471"/>
      <c r="D47" s="471"/>
      <c r="E47" s="471"/>
      <c r="F47" s="428"/>
      <c r="G47" s="476"/>
      <c r="H47" s="476"/>
      <c r="I47" s="428"/>
      <c r="J47" s="409"/>
    </row>
    <row r="48" spans="1:11" ht="13.5" customHeight="1" x14ac:dyDescent="0.2">
      <c r="A48" s="468" t="s">
        <v>852</v>
      </c>
      <c r="B48" s="378"/>
      <c r="C48" s="378"/>
      <c r="D48" s="378"/>
      <c r="E48" s="378"/>
      <c r="F48" s="377"/>
      <c r="G48" s="377">
        <v>0</v>
      </c>
      <c r="H48" s="378">
        <v>80000</v>
      </c>
      <c r="I48" s="377">
        <f>G48*H48*8/12</f>
        <v>0</v>
      </c>
      <c r="J48" s="409"/>
    </row>
    <row r="49" spans="1:11" ht="13.5" customHeight="1" x14ac:dyDescent="0.2">
      <c r="A49" s="468" t="s">
        <v>853</v>
      </c>
      <c r="B49" s="378"/>
      <c r="C49" s="378">
        <v>142</v>
      </c>
      <c r="D49" s="378">
        <v>70000</v>
      </c>
      <c r="E49" s="378">
        <f>C49*D49*8/12</f>
        <v>6626666.666666667</v>
      </c>
      <c r="F49" s="377"/>
      <c r="G49" s="377">
        <v>144</v>
      </c>
      <c r="H49" s="378">
        <v>80000</v>
      </c>
      <c r="I49" s="377">
        <f>G49*H49*8/12</f>
        <v>7680000</v>
      </c>
      <c r="J49" s="409"/>
    </row>
    <row r="50" spans="1:11" ht="13.5" customHeight="1" x14ac:dyDescent="0.2">
      <c r="A50" s="468" t="s">
        <v>854</v>
      </c>
      <c r="B50" s="471"/>
      <c r="C50" s="471"/>
      <c r="D50" s="471"/>
      <c r="E50" s="471"/>
      <c r="F50" s="428"/>
      <c r="G50" s="377">
        <v>0</v>
      </c>
      <c r="H50" s="378">
        <v>80000</v>
      </c>
      <c r="I50" s="377">
        <f>G50*H50*8/12</f>
        <v>0</v>
      </c>
      <c r="J50" s="409"/>
    </row>
    <row r="51" spans="1:11" ht="39.75" customHeight="1" x14ac:dyDescent="0.2">
      <c r="A51" s="468" t="s">
        <v>855</v>
      </c>
      <c r="B51" s="471"/>
      <c r="C51" s="471">
        <v>142</v>
      </c>
      <c r="D51" s="471">
        <v>70000</v>
      </c>
      <c r="E51" s="471">
        <f>C51*D51*4/12</f>
        <v>3313333.3333333335</v>
      </c>
      <c r="F51" s="428"/>
      <c r="G51" s="377">
        <v>144</v>
      </c>
      <c r="H51" s="378">
        <v>80000</v>
      </c>
      <c r="I51" s="377">
        <f>G51*H51*4/12</f>
        <v>3840000</v>
      </c>
      <c r="J51" s="409"/>
    </row>
    <row r="52" spans="1:11" ht="50.25" customHeight="1" x14ac:dyDescent="0.2">
      <c r="A52" s="381" t="s">
        <v>856</v>
      </c>
      <c r="B52" s="471"/>
      <c r="C52" s="471"/>
      <c r="D52" s="471"/>
      <c r="E52" s="471">
        <v>0</v>
      </c>
      <c r="F52" s="428"/>
      <c r="G52" s="476"/>
      <c r="H52" s="476"/>
      <c r="I52" s="377">
        <v>740000</v>
      </c>
      <c r="J52" s="412"/>
    </row>
    <row r="53" spans="1:11" ht="13.5" customHeight="1" x14ac:dyDescent="0.2">
      <c r="A53" s="381" t="s">
        <v>857</v>
      </c>
      <c r="B53" s="378"/>
      <c r="C53" s="378"/>
      <c r="D53" s="378"/>
      <c r="E53" s="378"/>
      <c r="F53" s="377"/>
      <c r="G53" s="376"/>
      <c r="H53" s="376"/>
      <c r="I53" s="377"/>
      <c r="J53" s="409"/>
    </row>
    <row r="54" spans="1:11" ht="13.5" customHeight="1" x14ac:dyDescent="0.2">
      <c r="A54" s="468" t="s">
        <v>858</v>
      </c>
      <c r="B54" s="378"/>
      <c r="C54" s="378">
        <v>5</v>
      </c>
      <c r="D54" s="483" t="s">
        <v>299</v>
      </c>
      <c r="E54" s="378">
        <v>1760000</v>
      </c>
      <c r="F54" s="377"/>
      <c r="G54" s="377">
        <v>5</v>
      </c>
      <c r="H54" s="377">
        <v>384000</v>
      </c>
      <c r="I54" s="377">
        <f>G54*H54</f>
        <v>1920000</v>
      </c>
      <c r="J54" s="409"/>
    </row>
    <row r="55" spans="1:11" ht="13.5" customHeight="1" x14ac:dyDescent="0.2">
      <c r="A55" s="468" t="s">
        <v>859</v>
      </c>
      <c r="B55" s="471"/>
      <c r="C55" s="471"/>
      <c r="D55" s="471"/>
      <c r="E55" s="471"/>
      <c r="F55" s="428"/>
      <c r="G55" s="377">
        <v>1</v>
      </c>
      <c r="H55" s="377">
        <v>352000</v>
      </c>
      <c r="I55" s="377">
        <f>G55*H55</f>
        <v>352000</v>
      </c>
      <c r="J55" s="409"/>
    </row>
    <row r="56" spans="1:11" ht="12.75" customHeight="1" x14ac:dyDescent="0.2">
      <c r="A56" s="475"/>
      <c r="B56" s="471"/>
      <c r="C56" s="471"/>
      <c r="D56" s="471"/>
      <c r="E56" s="471"/>
      <c r="F56" s="428"/>
      <c r="G56" s="476"/>
      <c r="H56" s="476"/>
      <c r="I56" s="428"/>
      <c r="J56" s="409"/>
      <c r="K56" s="477"/>
    </row>
    <row r="57" spans="1:11" ht="13.5" customHeight="1" x14ac:dyDescent="0.2">
      <c r="A57" s="478" t="s">
        <v>84</v>
      </c>
      <c r="B57" s="471"/>
      <c r="C57" s="471"/>
      <c r="D57" s="471"/>
      <c r="E57" s="471"/>
      <c r="F57" s="428"/>
      <c r="G57" s="476"/>
      <c r="H57" s="476"/>
      <c r="I57" s="428"/>
      <c r="J57" s="409"/>
    </row>
    <row r="58" spans="1:11" ht="33.75" customHeight="1" x14ac:dyDescent="0.2">
      <c r="A58" s="475" t="s">
        <v>860</v>
      </c>
      <c r="B58" s="471"/>
      <c r="C58" s="471"/>
      <c r="D58" s="471"/>
      <c r="E58" s="471">
        <v>0</v>
      </c>
      <c r="F58" s="428"/>
      <c r="G58" s="476"/>
      <c r="H58" s="476"/>
      <c r="I58" s="428">
        <v>0</v>
      </c>
      <c r="J58" s="411"/>
    </row>
    <row r="59" spans="1:11" ht="27" customHeight="1" x14ac:dyDescent="0.2">
      <c r="A59" s="482" t="s">
        <v>861</v>
      </c>
      <c r="B59" s="471"/>
      <c r="C59" s="471"/>
      <c r="D59" s="471"/>
      <c r="E59" s="474">
        <v>0</v>
      </c>
      <c r="F59" s="428"/>
      <c r="G59" s="476"/>
      <c r="H59" s="476"/>
      <c r="I59" s="428">
        <v>0</v>
      </c>
      <c r="J59" s="409"/>
    </row>
    <row r="60" spans="1:11" ht="13.5" customHeight="1" x14ac:dyDescent="0.2">
      <c r="A60" s="381" t="s">
        <v>862</v>
      </c>
      <c r="B60" s="471"/>
      <c r="C60" s="471"/>
      <c r="D60" s="471"/>
      <c r="E60" s="471"/>
      <c r="F60" s="428"/>
      <c r="G60" s="476"/>
      <c r="H60" s="476"/>
      <c r="I60" s="428"/>
      <c r="J60" s="409"/>
    </row>
    <row r="61" spans="1:11" ht="13.5" customHeight="1" x14ac:dyDescent="0.2">
      <c r="A61" s="381" t="s">
        <v>863</v>
      </c>
      <c r="B61" s="471"/>
      <c r="C61" s="471"/>
      <c r="D61" s="471"/>
      <c r="E61" s="471"/>
      <c r="F61" s="428"/>
      <c r="G61" s="476"/>
      <c r="H61" s="476"/>
      <c r="I61" s="428"/>
      <c r="J61" s="409"/>
    </row>
    <row r="62" spans="1:11" ht="13.5" customHeight="1" x14ac:dyDescent="0.2">
      <c r="A62" s="381" t="s">
        <v>864</v>
      </c>
      <c r="B62" s="471"/>
      <c r="C62" s="471"/>
      <c r="D62" s="471"/>
      <c r="E62" s="471"/>
      <c r="F62" s="428"/>
      <c r="G62" s="476"/>
      <c r="H62" s="476"/>
      <c r="I62" s="428"/>
      <c r="J62" s="409"/>
    </row>
    <row r="63" spans="1:11" ht="28.5" customHeight="1" x14ac:dyDescent="0.2">
      <c r="A63" s="468" t="s">
        <v>865</v>
      </c>
      <c r="B63" s="475"/>
      <c r="C63" s="484"/>
      <c r="D63" s="471"/>
      <c r="E63" s="471">
        <f>C63*D63/2</f>
        <v>0</v>
      </c>
      <c r="F63" s="378">
        <v>7916</v>
      </c>
      <c r="G63" s="485"/>
      <c r="H63" s="476"/>
      <c r="I63" s="428"/>
      <c r="J63" s="411"/>
    </row>
    <row r="64" spans="1:11" ht="24.95" customHeight="1" x14ac:dyDescent="0.2">
      <c r="A64" s="482" t="s">
        <v>866</v>
      </c>
      <c r="B64" s="471"/>
      <c r="C64" s="475"/>
      <c r="D64" s="471"/>
      <c r="E64" s="471"/>
      <c r="F64" s="428"/>
      <c r="G64" s="383">
        <v>0</v>
      </c>
      <c r="H64" s="476"/>
      <c r="I64" s="428"/>
      <c r="J64" s="411"/>
    </row>
    <row r="65" spans="1:10" ht="24.95" customHeight="1" x14ac:dyDescent="0.2">
      <c r="A65" s="475" t="s">
        <v>867</v>
      </c>
      <c r="B65" s="471"/>
      <c r="C65" s="475"/>
      <c r="D65" s="471"/>
      <c r="E65" s="471"/>
      <c r="F65" s="428"/>
      <c r="G65" s="382">
        <v>1</v>
      </c>
      <c r="H65" s="476"/>
      <c r="I65" s="428"/>
      <c r="J65" s="409"/>
    </row>
    <row r="66" spans="1:10" ht="24.95" customHeight="1" x14ac:dyDescent="0.2">
      <c r="A66" s="381" t="s">
        <v>868</v>
      </c>
      <c r="B66" s="471"/>
      <c r="C66" s="486">
        <v>0.97299999999999998</v>
      </c>
      <c r="D66" s="471">
        <v>3000000</v>
      </c>
      <c r="E66" s="471"/>
      <c r="F66" s="428"/>
      <c r="G66" s="382">
        <v>2</v>
      </c>
      <c r="H66" s="378">
        <v>3000000</v>
      </c>
      <c r="I66" s="377">
        <f>(2*1+0)*3000000</f>
        <v>6000000</v>
      </c>
      <c r="J66" s="409"/>
    </row>
    <row r="67" spans="1:10" ht="13.5" customHeight="1" x14ac:dyDescent="0.2">
      <c r="A67" s="381" t="s">
        <v>869</v>
      </c>
      <c r="B67" s="487"/>
      <c r="C67" s="471">
        <v>80</v>
      </c>
      <c r="D67" s="471">
        <v>55360</v>
      </c>
      <c r="E67" s="471">
        <f>C67*D67</f>
        <v>4428800</v>
      </c>
      <c r="F67" s="428"/>
      <c r="G67" s="378">
        <v>80</v>
      </c>
      <c r="H67" s="378">
        <v>55360</v>
      </c>
      <c r="I67" s="378">
        <f>G67*H67</f>
        <v>4428800</v>
      </c>
      <c r="J67" s="409"/>
    </row>
    <row r="68" spans="1:10" ht="13.5" customHeight="1" x14ac:dyDescent="0.2">
      <c r="A68" s="381" t="s">
        <v>870</v>
      </c>
      <c r="B68" s="487"/>
      <c r="C68" s="471">
        <v>55</v>
      </c>
      <c r="D68" s="471">
        <v>145000</v>
      </c>
      <c r="E68" s="471">
        <f>C68*D68</f>
        <v>7975000</v>
      </c>
      <c r="F68" s="428"/>
      <c r="G68" s="378">
        <v>50</v>
      </c>
      <c r="H68" s="378">
        <v>145000</v>
      </c>
      <c r="I68" s="378">
        <f>G68*H68</f>
        <v>7250000</v>
      </c>
      <c r="J68" s="409"/>
    </row>
    <row r="69" spans="1:10" ht="13.5" customHeight="1" x14ac:dyDescent="0.2">
      <c r="A69" s="482" t="s">
        <v>871</v>
      </c>
      <c r="B69" s="488"/>
      <c r="C69" s="471">
        <v>23</v>
      </c>
      <c r="D69" s="471">
        <v>109000</v>
      </c>
      <c r="E69" s="471">
        <f>C69*D69</f>
        <v>2507000</v>
      </c>
      <c r="F69" s="428"/>
      <c r="G69" s="378">
        <v>23</v>
      </c>
      <c r="H69" s="378">
        <v>109000</v>
      </c>
      <c r="I69" s="378">
        <f>G69*H69</f>
        <v>2507000</v>
      </c>
      <c r="J69" s="409"/>
    </row>
    <row r="70" spans="1:10" ht="15" customHeight="1" x14ac:dyDescent="0.2">
      <c r="A70" s="468" t="s">
        <v>872</v>
      </c>
      <c r="B70" s="488"/>
      <c r="C70" s="471"/>
      <c r="D70" s="471"/>
      <c r="E70" s="471"/>
      <c r="F70" s="428"/>
      <c r="G70" s="476"/>
      <c r="H70" s="476"/>
      <c r="I70" s="428"/>
      <c r="J70" s="409"/>
    </row>
    <row r="71" spans="1:10" ht="13.5" customHeight="1" x14ac:dyDescent="0.2">
      <c r="A71" s="475" t="s">
        <v>873</v>
      </c>
      <c r="B71" s="475"/>
      <c r="C71" s="475"/>
      <c r="D71" s="428"/>
      <c r="E71" s="471"/>
      <c r="F71" s="428"/>
      <c r="G71" s="476"/>
      <c r="H71" s="476"/>
      <c r="I71" s="428"/>
      <c r="J71" s="409"/>
    </row>
    <row r="72" spans="1:10" ht="13.5" customHeight="1" x14ac:dyDescent="0.2">
      <c r="A72" s="381" t="s">
        <v>874</v>
      </c>
      <c r="B72" s="489"/>
      <c r="C72" s="471">
        <v>13</v>
      </c>
      <c r="D72" s="471">
        <v>494100</v>
      </c>
      <c r="E72" s="471">
        <f>C72*D72</f>
        <v>6423300</v>
      </c>
      <c r="F72" s="428"/>
      <c r="G72" s="378">
        <v>15</v>
      </c>
      <c r="H72" s="378">
        <v>494100</v>
      </c>
      <c r="I72" s="378">
        <f>G72*H72</f>
        <v>7411500</v>
      </c>
      <c r="J72" s="409"/>
    </row>
    <row r="73" spans="1:10" ht="13.5" customHeight="1" x14ac:dyDescent="0.2">
      <c r="A73" s="468" t="s">
        <v>875</v>
      </c>
      <c r="B73" s="487"/>
      <c r="C73" s="471"/>
      <c r="D73" s="471"/>
      <c r="E73" s="471"/>
      <c r="F73" s="428"/>
      <c r="G73" s="476"/>
      <c r="H73" s="476"/>
      <c r="I73" s="428"/>
      <c r="J73" s="409"/>
    </row>
    <row r="74" spans="1:10" ht="13.5" customHeight="1" x14ac:dyDescent="0.2">
      <c r="A74" s="468" t="s">
        <v>876</v>
      </c>
      <c r="B74" s="487"/>
      <c r="C74" s="471">
        <v>15</v>
      </c>
      <c r="D74" s="471">
        <v>2606040</v>
      </c>
      <c r="E74" s="471">
        <f>C74*D74</f>
        <v>39090600</v>
      </c>
      <c r="F74" s="428"/>
      <c r="G74" s="378">
        <v>15</v>
      </c>
      <c r="H74" s="378">
        <v>2606040</v>
      </c>
      <c r="I74" s="378">
        <f>G74*H74</f>
        <v>39090600</v>
      </c>
      <c r="J74" s="409"/>
    </row>
    <row r="75" spans="1:10" ht="24.95" customHeight="1" x14ac:dyDescent="0.2">
      <c r="A75" s="381" t="s">
        <v>877</v>
      </c>
      <c r="B75" s="487"/>
      <c r="C75" s="471"/>
      <c r="D75" s="471"/>
      <c r="E75" s="474">
        <v>37834000</v>
      </c>
      <c r="F75" s="428"/>
      <c r="G75" s="476"/>
      <c r="H75" s="476"/>
      <c r="I75" s="377">
        <v>31081000</v>
      </c>
      <c r="J75" s="413"/>
    </row>
    <row r="76" spans="1:10" ht="15" customHeight="1" x14ac:dyDescent="0.2">
      <c r="A76" s="381" t="s">
        <v>878</v>
      </c>
      <c r="B76" s="487"/>
      <c r="C76" s="471"/>
      <c r="D76" s="471"/>
      <c r="E76" s="471"/>
      <c r="F76" s="428"/>
      <c r="G76" s="476"/>
      <c r="H76" s="476"/>
      <c r="I76" s="428"/>
      <c r="J76" s="409"/>
    </row>
    <row r="77" spans="1:10" ht="34.5" customHeight="1" x14ac:dyDescent="0.2">
      <c r="A77" s="381" t="s">
        <v>879</v>
      </c>
      <c r="B77" s="471"/>
      <c r="C77" s="480">
        <v>12.33</v>
      </c>
      <c r="D77" s="471">
        <v>1632000</v>
      </c>
      <c r="E77" s="471">
        <f>C77*D77</f>
        <v>20122560</v>
      </c>
      <c r="F77" s="428"/>
      <c r="G77" s="379">
        <v>13.81</v>
      </c>
      <c r="H77" s="378">
        <v>1632000</v>
      </c>
      <c r="I77" s="378">
        <f>G77*H77</f>
        <v>22537920</v>
      </c>
      <c r="J77" s="414"/>
    </row>
    <row r="78" spans="1:10" ht="13.5" customHeight="1" x14ac:dyDescent="0.2">
      <c r="A78" s="381" t="s">
        <v>880</v>
      </c>
      <c r="B78" s="471"/>
      <c r="C78" s="471"/>
      <c r="D78" s="471"/>
      <c r="E78" s="474">
        <v>7038795</v>
      </c>
      <c r="F78" s="428"/>
      <c r="G78" s="476"/>
      <c r="H78" s="476"/>
      <c r="I78" s="377">
        <v>10352656</v>
      </c>
      <c r="J78" s="415"/>
    </row>
    <row r="79" spans="1:10" ht="13.5" customHeight="1" x14ac:dyDescent="0.2">
      <c r="A79" s="468" t="s">
        <v>881</v>
      </c>
      <c r="B79" s="471"/>
      <c r="C79" s="471"/>
      <c r="D79" s="471"/>
      <c r="E79" s="474"/>
      <c r="F79" s="428"/>
      <c r="G79" s="377">
        <v>280</v>
      </c>
      <c r="H79" s="377">
        <v>285</v>
      </c>
      <c r="I79" s="377">
        <f>G79*H79</f>
        <v>79800</v>
      </c>
      <c r="J79" s="409"/>
    </row>
    <row r="80" spans="1:10" ht="31.5" customHeight="1" x14ac:dyDescent="0.2">
      <c r="A80" s="381" t="s">
        <v>882</v>
      </c>
      <c r="B80" s="471"/>
      <c r="C80" s="471"/>
      <c r="D80" s="471"/>
      <c r="E80" s="474">
        <v>0</v>
      </c>
      <c r="F80" s="428"/>
      <c r="G80" s="476"/>
      <c r="H80" s="476"/>
      <c r="I80" s="377">
        <v>0</v>
      </c>
      <c r="J80" s="409"/>
    </row>
    <row r="81" spans="1:256" ht="28.5" customHeight="1" x14ac:dyDescent="0.2">
      <c r="A81" s="475"/>
      <c r="B81" s="471"/>
      <c r="C81" s="471"/>
      <c r="D81" s="471"/>
      <c r="E81" s="490"/>
      <c r="F81" s="428"/>
      <c r="G81" s="476"/>
      <c r="H81" s="476"/>
      <c r="I81" s="428"/>
      <c r="J81" s="409"/>
      <c r="K81" s="477"/>
    </row>
    <row r="82" spans="1:256" ht="13.5" customHeight="1" x14ac:dyDescent="0.2">
      <c r="A82" s="478" t="s">
        <v>883</v>
      </c>
      <c r="B82" s="471"/>
      <c r="C82" s="471"/>
      <c r="D82" s="471"/>
      <c r="E82" s="490"/>
      <c r="F82" s="428"/>
      <c r="G82" s="476"/>
      <c r="H82" s="476"/>
      <c r="I82" s="428"/>
      <c r="J82" s="409"/>
    </row>
    <row r="83" spans="1:256" ht="13.5" customHeight="1" x14ac:dyDescent="0.2">
      <c r="A83" s="381" t="s">
        <v>884</v>
      </c>
      <c r="B83" s="471"/>
      <c r="C83" s="471"/>
      <c r="D83" s="471"/>
      <c r="E83" s="490"/>
      <c r="F83" s="428"/>
      <c r="G83" s="476"/>
      <c r="H83" s="476"/>
      <c r="I83" s="428"/>
      <c r="J83" s="409"/>
    </row>
    <row r="84" spans="1:256" ht="13.5" customHeight="1" x14ac:dyDescent="0.2">
      <c r="A84" s="381" t="s">
        <v>885</v>
      </c>
      <c r="B84" s="471"/>
      <c r="C84" s="471">
        <v>4865</v>
      </c>
      <c r="D84" s="471">
        <v>1140</v>
      </c>
      <c r="E84" s="491"/>
      <c r="F84" s="428"/>
      <c r="G84" s="378">
        <v>4837</v>
      </c>
      <c r="H84" s="378">
        <v>1140</v>
      </c>
      <c r="I84" s="197">
        <f>G84*H84</f>
        <v>5514180</v>
      </c>
      <c r="J84" s="409"/>
    </row>
    <row r="85" spans="1:256" ht="30" customHeight="1" x14ac:dyDescent="0.2">
      <c r="A85" s="468" t="s">
        <v>886</v>
      </c>
      <c r="B85" s="471"/>
      <c r="C85" s="471"/>
      <c r="D85" s="471"/>
      <c r="E85" s="491"/>
      <c r="F85" s="428"/>
      <c r="G85" s="471"/>
      <c r="H85" s="471"/>
      <c r="I85" s="197">
        <v>0</v>
      </c>
      <c r="J85" s="409"/>
    </row>
    <row r="86" spans="1:256" ht="13.5" customHeight="1" x14ac:dyDescent="0.2">
      <c r="A86" s="482"/>
      <c r="B86" s="487"/>
      <c r="C86" s="471"/>
      <c r="D86" s="485"/>
      <c r="E86" s="471"/>
      <c r="F86" s="428"/>
      <c r="G86" s="476"/>
      <c r="H86" s="476"/>
      <c r="I86" s="428"/>
      <c r="J86" s="409"/>
      <c r="K86" s="477"/>
    </row>
    <row r="87" spans="1:256" ht="25.5" customHeight="1" x14ac:dyDescent="0.2">
      <c r="A87" s="492" t="s">
        <v>887</v>
      </c>
      <c r="B87" s="487"/>
      <c r="C87" s="493"/>
      <c r="D87" s="471"/>
      <c r="E87" s="474"/>
      <c r="F87" s="487"/>
      <c r="G87" s="476"/>
      <c r="H87" s="476"/>
      <c r="I87" s="428"/>
      <c r="J87" s="409"/>
      <c r="K87" s="477"/>
      <c r="L87" s="477"/>
      <c r="N87" s="196"/>
    </row>
    <row r="88" spans="1:256" ht="13.5" customHeight="1" thickBot="1" x14ac:dyDescent="0.25">
      <c r="A88" s="494"/>
      <c r="B88" s="495"/>
      <c r="C88" s="496"/>
      <c r="D88" s="497"/>
      <c r="E88" s="496"/>
      <c r="F88" s="498"/>
      <c r="G88" s="499"/>
      <c r="H88" s="499"/>
      <c r="I88" s="498"/>
      <c r="J88" s="409"/>
    </row>
    <row r="89" spans="1:256" ht="11.25" customHeight="1" thickBot="1" x14ac:dyDescent="0.25">
      <c r="A89" s="500" t="s">
        <v>888</v>
      </c>
      <c r="B89" s="501"/>
      <c r="C89" s="501"/>
      <c r="D89" s="502"/>
      <c r="E89" s="503">
        <f>E12+E14+E17+E20+E23+E28+E31+E34+E39+E40+E41+E42+E44+E49+E51+E54+E58+E59+E63+E64+E67+E68+E69+E72+E74+E75+E77+E78</f>
        <v>987821085</v>
      </c>
      <c r="F89" s="1439">
        <f>I12+I16+I19+I22+I25+I28+I31+I34+I35+I39+I40+I41+I42+I44+I49+I50+I51+I52+I54+I58+I59+I66+I67+I68+I69+I72+I74+I75+I77+I78+I79+I80+I84+I45+I46+I43+I55</f>
        <v>992732374</v>
      </c>
      <c r="G89" s="1439"/>
      <c r="H89" s="1439"/>
      <c r="I89" s="1440"/>
      <c r="J89" s="6"/>
      <c r="K89" s="504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6"/>
      <c r="FX89" s="6"/>
      <c r="FY89" s="6"/>
      <c r="FZ89" s="6"/>
      <c r="GA89" s="6"/>
      <c r="GB89" s="6"/>
      <c r="GC89" s="6"/>
      <c r="GD89" s="6"/>
      <c r="GE89" s="6"/>
      <c r="GF89" s="6"/>
      <c r="GG89" s="6"/>
      <c r="GH89" s="6"/>
      <c r="GI89" s="6"/>
      <c r="GJ89" s="6"/>
      <c r="GK89" s="6"/>
      <c r="GL89" s="6"/>
      <c r="GM89" s="6"/>
      <c r="GN89" s="6"/>
      <c r="GO89" s="6"/>
      <c r="GP89" s="6"/>
      <c r="GQ89" s="6"/>
      <c r="GR89" s="6"/>
      <c r="GS89" s="6"/>
      <c r="GT89" s="6"/>
      <c r="GU89" s="6"/>
      <c r="GV89" s="6"/>
      <c r="GW89" s="6"/>
      <c r="GX89" s="6"/>
      <c r="GY89" s="6"/>
      <c r="GZ89" s="6"/>
      <c r="HA89" s="6"/>
      <c r="HB89" s="6"/>
      <c r="HC89" s="6"/>
      <c r="HD89" s="6"/>
      <c r="HE89" s="6"/>
      <c r="HF89" s="6"/>
      <c r="HG89" s="6"/>
      <c r="HH89" s="6"/>
      <c r="HI89" s="6"/>
      <c r="HJ89" s="6"/>
      <c r="HK89" s="6"/>
      <c r="HL89" s="6"/>
      <c r="HM89" s="6"/>
      <c r="HN89" s="6"/>
      <c r="HO89" s="6"/>
      <c r="HP89" s="6"/>
      <c r="HQ89" s="6"/>
      <c r="HR89" s="6"/>
      <c r="HS89" s="6"/>
      <c r="HT89" s="6"/>
      <c r="HU89" s="6"/>
      <c r="HV89" s="6"/>
      <c r="HW89" s="6"/>
      <c r="HX89" s="6"/>
      <c r="HY89" s="6"/>
      <c r="HZ89" s="6"/>
      <c r="IA89" s="6"/>
      <c r="IB89" s="6"/>
      <c r="IC89" s="6"/>
      <c r="ID89" s="6"/>
      <c r="IE89" s="6"/>
      <c r="IF89" s="6"/>
      <c r="IG89" s="6"/>
      <c r="IH89" s="6"/>
      <c r="II89" s="6"/>
      <c r="IJ89" s="6"/>
      <c r="IK89" s="6"/>
      <c r="IL89" s="6"/>
      <c r="IM89" s="6"/>
      <c r="IN89" s="6"/>
      <c r="IO89" s="6"/>
      <c r="IP89" s="6"/>
      <c r="IQ89" s="6"/>
      <c r="IR89" s="6"/>
      <c r="IS89" s="6"/>
      <c r="IT89" s="6"/>
      <c r="IU89" s="6"/>
      <c r="IV89" s="6"/>
    </row>
    <row r="90" spans="1:256" ht="14.25" customHeight="1" x14ac:dyDescent="0.2"/>
    <row r="91" spans="1:256" s="6" customFormat="1" ht="13.5" customHeight="1" x14ac:dyDescent="0.2">
      <c r="A91" s="129"/>
      <c r="B91" s="129"/>
      <c r="C91" s="129"/>
      <c r="D91" s="129"/>
      <c r="E91" s="133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  <c r="EM91" s="5"/>
      <c r="EN91" s="5"/>
      <c r="EO91" s="5"/>
      <c r="EP91" s="5"/>
      <c r="EQ91" s="5"/>
      <c r="ER91" s="5"/>
      <c r="ES91" s="5"/>
      <c r="ET91" s="5"/>
      <c r="EU91" s="5"/>
      <c r="EV91" s="5"/>
      <c r="EW91" s="5"/>
      <c r="EX91" s="5"/>
      <c r="EY91" s="5"/>
      <c r="EZ91" s="5"/>
      <c r="FA91" s="5"/>
      <c r="FB91" s="5"/>
      <c r="FC91" s="5"/>
      <c r="FD91" s="5"/>
      <c r="FE91" s="5"/>
      <c r="FF91" s="5"/>
      <c r="FG91" s="5"/>
      <c r="FH91" s="5"/>
      <c r="FI91" s="5"/>
      <c r="FJ91" s="5"/>
      <c r="FK91" s="5"/>
      <c r="FL91" s="5"/>
      <c r="FM91" s="5"/>
      <c r="FN91" s="5"/>
      <c r="FO91" s="5"/>
      <c r="FP91" s="5"/>
      <c r="FQ91" s="5"/>
      <c r="FR91" s="5"/>
      <c r="FS91" s="5"/>
      <c r="FT91" s="5"/>
      <c r="FU91" s="5"/>
      <c r="FV91" s="5"/>
      <c r="FW91" s="5"/>
      <c r="FX91" s="5"/>
      <c r="FY91" s="5"/>
      <c r="FZ91" s="5"/>
      <c r="GA91" s="5"/>
      <c r="GB91" s="5"/>
      <c r="GC91" s="5"/>
      <c r="GD91" s="5"/>
      <c r="GE91" s="5"/>
      <c r="GF91" s="5"/>
      <c r="GG91" s="5"/>
      <c r="GH91" s="5"/>
      <c r="GI91" s="5"/>
      <c r="GJ91" s="5"/>
      <c r="GK91" s="5"/>
      <c r="GL91" s="5"/>
      <c r="GM91" s="5"/>
      <c r="GN91" s="5"/>
      <c r="GO91" s="5"/>
      <c r="GP91" s="5"/>
      <c r="GQ91" s="5"/>
      <c r="GR91" s="5"/>
      <c r="GS91" s="5"/>
      <c r="GT91" s="5"/>
      <c r="GU91" s="5"/>
      <c r="GV91" s="5"/>
      <c r="GW91" s="5"/>
      <c r="GX91" s="5"/>
      <c r="GY91" s="5"/>
      <c r="GZ91" s="5"/>
      <c r="HA91" s="5"/>
      <c r="HB91" s="5"/>
      <c r="HC91" s="5"/>
      <c r="HD91" s="5"/>
      <c r="HE91" s="5"/>
      <c r="HF91" s="5"/>
      <c r="HG91" s="5"/>
      <c r="HH91" s="5"/>
      <c r="HI91" s="5"/>
      <c r="HJ91" s="5"/>
      <c r="HK91" s="5"/>
      <c r="HL91" s="5"/>
      <c r="HM91" s="5"/>
      <c r="HN91" s="5"/>
      <c r="HO91" s="5"/>
      <c r="HP91" s="5"/>
      <c r="HQ91" s="5"/>
      <c r="HR91" s="5"/>
      <c r="HS91" s="5"/>
      <c r="HT91" s="5"/>
      <c r="HU91" s="5"/>
      <c r="HV91" s="5"/>
      <c r="HW91" s="5"/>
      <c r="HX91" s="5"/>
      <c r="HY91" s="5"/>
      <c r="HZ91" s="5"/>
      <c r="IA91" s="5"/>
      <c r="IB91" s="5"/>
      <c r="IC91" s="5"/>
      <c r="ID91" s="5"/>
      <c r="IE91" s="5"/>
      <c r="IF91" s="5"/>
      <c r="IG91" s="5"/>
      <c r="IH91" s="5"/>
      <c r="II91" s="5"/>
      <c r="IJ91" s="5"/>
      <c r="IK91" s="5"/>
      <c r="IL91" s="5"/>
      <c r="IM91" s="5"/>
      <c r="IN91" s="5"/>
      <c r="IO91" s="5"/>
      <c r="IP91" s="5"/>
      <c r="IQ91" s="5"/>
      <c r="IR91" s="5"/>
      <c r="IS91" s="5"/>
      <c r="IT91" s="5"/>
      <c r="IU91" s="5"/>
      <c r="IV91" s="5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4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N39"/>
  <sheetViews>
    <sheetView workbookViewId="0">
      <selection activeCell="J7" sqref="J7:N8"/>
    </sheetView>
  </sheetViews>
  <sheetFormatPr defaultColWidth="9.140625" defaultRowHeight="12.75" x14ac:dyDescent="0.2"/>
  <cols>
    <col min="1" max="1" width="0.42578125" style="2" customWidth="1"/>
    <col min="2" max="2" width="27.42578125" style="2" customWidth="1"/>
    <col min="3" max="3" width="16.85546875" style="2" customWidth="1"/>
    <col min="4" max="4" width="9.42578125" style="2" customWidth="1"/>
    <col min="5" max="5" width="11.140625" style="162" customWidth="1"/>
    <col min="6" max="6" width="15.140625" style="2" customWidth="1"/>
    <col min="7" max="7" width="0" style="162" hidden="1" customWidth="1"/>
    <col min="8" max="8" width="0" style="206" hidden="1" customWidth="1"/>
    <col min="9" max="9" width="10.28515625" style="162" hidden="1" customWidth="1"/>
    <col min="10" max="16384" width="9.140625" style="3"/>
  </cols>
  <sheetData>
    <row r="1" spans="1:14" ht="27.75" customHeight="1" x14ac:dyDescent="0.2">
      <c r="A1" s="1460" t="s">
        <v>1329</v>
      </c>
      <c r="B1" s="1460"/>
      <c r="C1" s="1460"/>
      <c r="D1" s="1460"/>
      <c r="E1" s="1460"/>
      <c r="F1" s="1460"/>
      <c r="G1" s="1460"/>
      <c r="H1" s="1460"/>
      <c r="I1" s="1460"/>
    </row>
    <row r="3" spans="1:14" ht="15" customHeight="1" x14ac:dyDescent="0.2">
      <c r="B3" s="1463" t="s">
        <v>77</v>
      </c>
      <c r="C3" s="1463"/>
      <c r="D3" s="1463"/>
      <c r="E3" s="1463"/>
      <c r="F3" s="1463"/>
      <c r="G3" s="1464"/>
      <c r="H3" s="1464"/>
      <c r="I3" s="1464"/>
    </row>
    <row r="4" spans="1:14" ht="15" customHeight="1" x14ac:dyDescent="0.2">
      <c r="B4" s="1467" t="s">
        <v>1176</v>
      </c>
      <c r="C4" s="1467"/>
      <c r="D4" s="1467"/>
      <c r="E4" s="1467"/>
      <c r="F4" s="1467"/>
      <c r="G4" s="3"/>
      <c r="H4" s="3"/>
      <c r="I4" s="3"/>
    </row>
    <row r="5" spans="1:14" ht="15" customHeight="1" x14ac:dyDescent="0.2">
      <c r="B5" s="1463"/>
      <c r="C5" s="1463"/>
      <c r="D5" s="1463"/>
      <c r="E5" s="1463"/>
    </row>
    <row r="6" spans="1:14" ht="15" customHeight="1" x14ac:dyDescent="0.2">
      <c r="B6" s="1465" t="s">
        <v>303</v>
      </c>
      <c r="C6" s="1466"/>
      <c r="D6" s="1466"/>
      <c r="E6" s="1466"/>
      <c r="F6" s="1466"/>
      <c r="G6" s="1466"/>
      <c r="H6" s="1466"/>
      <c r="I6" s="1466"/>
    </row>
    <row r="7" spans="1:14" ht="48.75" customHeight="1" x14ac:dyDescent="0.2">
      <c r="B7" s="156" t="s">
        <v>85</v>
      </c>
      <c r="C7" s="112" t="s">
        <v>1178</v>
      </c>
      <c r="D7" s="1462" t="s">
        <v>1177</v>
      </c>
      <c r="E7" s="1462"/>
      <c r="F7" s="1462"/>
      <c r="G7" s="1462" t="s">
        <v>565</v>
      </c>
      <c r="H7" s="1462"/>
      <c r="I7" s="1462"/>
      <c r="J7" s="1413" t="s">
        <v>1337</v>
      </c>
      <c r="K7" s="1413"/>
      <c r="L7" s="1413" t="s">
        <v>1338</v>
      </c>
      <c r="M7" s="1413"/>
      <c r="N7" s="1413"/>
    </row>
    <row r="8" spans="1:14" ht="35.450000000000003" customHeight="1" x14ac:dyDescent="0.2">
      <c r="B8" s="157"/>
      <c r="C8" s="26"/>
      <c r="D8" s="812" t="s">
        <v>62</v>
      </c>
      <c r="E8" s="813" t="s">
        <v>63</v>
      </c>
      <c r="F8" s="813" t="s">
        <v>1076</v>
      </c>
      <c r="G8" s="3"/>
      <c r="H8" s="3"/>
      <c r="I8" s="3"/>
      <c r="J8" s="737" t="s">
        <v>62</v>
      </c>
      <c r="K8" s="737" t="s">
        <v>63</v>
      </c>
      <c r="L8" s="737" t="s">
        <v>62</v>
      </c>
      <c r="M8" s="738" t="s">
        <v>63</v>
      </c>
      <c r="N8" s="735" t="s">
        <v>64</v>
      </c>
    </row>
    <row r="9" spans="1:14" ht="15.95" customHeight="1" x14ac:dyDescent="0.2">
      <c r="B9" s="814" t="s">
        <v>577</v>
      </c>
      <c r="C9" s="815"/>
      <c r="D9" s="816"/>
      <c r="E9" s="817"/>
      <c r="F9" s="816"/>
      <c r="G9" s="818"/>
      <c r="H9" s="818"/>
      <c r="I9" s="818"/>
      <c r="J9" s="818"/>
      <c r="K9" s="818"/>
      <c r="L9" s="818"/>
      <c r="M9" s="818"/>
      <c r="N9" s="818"/>
    </row>
    <row r="10" spans="1:14" ht="36" customHeight="1" x14ac:dyDescent="0.2">
      <c r="B10" s="819" t="s">
        <v>578</v>
      </c>
      <c r="C10" s="820" t="s">
        <v>562</v>
      </c>
      <c r="D10" s="821">
        <v>125390</v>
      </c>
      <c r="E10" s="821">
        <v>98610</v>
      </c>
      <c r="F10" s="821">
        <f>SUM(D10:E10)</f>
        <v>224000</v>
      </c>
      <c r="G10" s="818"/>
      <c r="H10" s="818"/>
      <c r="I10" s="818"/>
      <c r="J10" s="818"/>
      <c r="K10" s="818"/>
      <c r="L10" s="818"/>
      <c r="M10" s="818"/>
      <c r="N10" s="818"/>
    </row>
    <row r="11" spans="1:14" ht="23.25" customHeight="1" x14ac:dyDescent="0.2">
      <c r="B11" s="819" t="s">
        <v>579</v>
      </c>
      <c r="C11" s="819" t="s">
        <v>1179</v>
      </c>
      <c r="D11" s="821">
        <v>80749</v>
      </c>
      <c r="E11" s="821">
        <v>479251</v>
      </c>
      <c r="F11" s="821">
        <f>SUM(D11:E11)</f>
        <v>560000</v>
      </c>
      <c r="G11" s="818"/>
      <c r="H11" s="818"/>
      <c r="I11" s="818"/>
      <c r="J11" s="822"/>
      <c r="K11" s="818"/>
      <c r="L11" s="818"/>
      <c r="M11" s="818"/>
      <c r="N11" s="818"/>
    </row>
    <row r="12" spans="1:14" ht="22.5" customHeight="1" x14ac:dyDescent="0.2">
      <c r="B12" s="819" t="s">
        <v>580</v>
      </c>
      <c r="C12" s="823" t="s">
        <v>581</v>
      </c>
      <c r="D12" s="821">
        <v>138919</v>
      </c>
      <c r="E12" s="821">
        <v>286081</v>
      </c>
      <c r="F12" s="821">
        <f>SUM(D12:E12)</f>
        <v>425000</v>
      </c>
      <c r="G12" s="818"/>
      <c r="H12" s="818"/>
      <c r="I12" s="818"/>
      <c r="J12" s="818"/>
      <c r="K12" s="818"/>
      <c r="L12" s="818"/>
      <c r="M12" s="818"/>
      <c r="N12" s="818"/>
    </row>
    <row r="13" spans="1:14" ht="23.25" customHeight="1" x14ac:dyDescent="0.2">
      <c r="B13" s="824" t="s">
        <v>582</v>
      </c>
      <c r="C13" s="823"/>
      <c r="D13" s="825">
        <f>SUM(D10:D12)</f>
        <v>345058</v>
      </c>
      <c r="E13" s="825">
        <f>SUM(E10:E12)</f>
        <v>863942</v>
      </c>
      <c r="F13" s="825">
        <f>SUM(D13:E13)</f>
        <v>1209000</v>
      </c>
      <c r="G13" s="818"/>
      <c r="H13" s="818"/>
      <c r="I13" s="818"/>
      <c r="J13" s="818"/>
      <c r="K13" s="818"/>
      <c r="L13" s="818"/>
      <c r="M13" s="818"/>
      <c r="N13" s="818"/>
    </row>
    <row r="14" spans="1:14" ht="15.95" customHeight="1" x14ac:dyDescent="0.2">
      <c r="B14" s="816"/>
      <c r="C14" s="826"/>
      <c r="D14" s="827"/>
      <c r="E14" s="827"/>
      <c r="F14" s="827"/>
      <c r="G14" s="818"/>
      <c r="H14" s="818"/>
      <c r="I14" s="818"/>
      <c r="J14" s="818"/>
      <c r="K14" s="818"/>
      <c r="L14" s="818"/>
      <c r="M14" s="818"/>
      <c r="N14" s="818"/>
    </row>
    <row r="15" spans="1:14" s="213" customFormat="1" ht="17.25" customHeight="1" x14ac:dyDescent="0.2">
      <c r="B15" s="828" t="s">
        <v>583</v>
      </c>
      <c r="C15" s="829"/>
      <c r="D15" s="830">
        <v>4500</v>
      </c>
      <c r="E15" s="830"/>
      <c r="F15" s="830">
        <f>D15+E15</f>
        <v>4500</v>
      </c>
      <c r="G15" s="831"/>
      <c r="H15" s="831"/>
      <c r="I15" s="831"/>
      <c r="J15" s="831"/>
      <c r="K15" s="831"/>
      <c r="L15" s="831"/>
      <c r="M15" s="831"/>
      <c r="N15" s="831"/>
    </row>
    <row r="16" spans="1:14" ht="15.95" customHeight="1" x14ac:dyDescent="0.2">
      <c r="B16" s="815"/>
      <c r="C16" s="832"/>
      <c r="D16" s="827"/>
      <c r="E16" s="827"/>
      <c r="F16" s="827"/>
      <c r="G16" s="818"/>
      <c r="H16" s="818"/>
      <c r="I16" s="818"/>
      <c r="J16" s="818"/>
      <c r="K16" s="818"/>
      <c r="L16" s="818"/>
      <c r="M16" s="818"/>
      <c r="N16" s="818"/>
    </row>
    <row r="17" spans="1:14" ht="15.95" customHeight="1" x14ac:dyDescent="0.2">
      <c r="B17" s="1461" t="s">
        <v>584</v>
      </c>
      <c r="C17" s="1461"/>
      <c r="D17" s="827"/>
      <c r="E17" s="827"/>
      <c r="F17" s="827"/>
      <c r="G17" s="818"/>
      <c r="H17" s="818"/>
      <c r="I17" s="818"/>
      <c r="J17" s="818"/>
      <c r="K17" s="818"/>
      <c r="L17" s="818"/>
      <c r="M17" s="818"/>
      <c r="N17" s="818"/>
    </row>
    <row r="18" spans="1:14" ht="15.95" customHeight="1" x14ac:dyDescent="0.2">
      <c r="B18" s="816"/>
      <c r="C18" s="826"/>
      <c r="D18" s="827"/>
      <c r="E18" s="827"/>
      <c r="F18" s="827"/>
      <c r="G18" s="818"/>
      <c r="H18" s="818"/>
      <c r="I18" s="818"/>
      <c r="J18" s="818"/>
      <c r="K18" s="818"/>
      <c r="L18" s="818"/>
      <c r="M18" s="818"/>
      <c r="N18" s="818"/>
    </row>
    <row r="19" spans="1:14" ht="78.75" customHeight="1" x14ac:dyDescent="0.2">
      <c r="B19" s="833" t="s">
        <v>585</v>
      </c>
      <c r="C19" s="834" t="s">
        <v>586</v>
      </c>
      <c r="D19" s="827">
        <v>17000</v>
      </c>
      <c r="E19" s="827"/>
      <c r="F19" s="827">
        <f t="shared" ref="F19:F29" si="0">SUM(D19:E19)</f>
        <v>17000</v>
      </c>
      <c r="G19" s="818"/>
      <c r="H19" s="818"/>
      <c r="I19" s="818"/>
      <c r="J19" s="818"/>
      <c r="K19" s="818"/>
      <c r="L19" s="818"/>
      <c r="M19" s="818"/>
      <c r="N19" s="818"/>
    </row>
    <row r="20" spans="1:14" ht="15.95" customHeight="1" x14ac:dyDescent="0.2">
      <c r="A20" s="3"/>
      <c r="B20" s="815" t="s">
        <v>587</v>
      </c>
      <c r="C20" s="832"/>
      <c r="D20" s="830">
        <f>SUM(D18:D19)</f>
        <v>17000</v>
      </c>
      <c r="E20" s="830"/>
      <c r="F20" s="830">
        <f t="shared" si="0"/>
        <v>17000</v>
      </c>
      <c r="G20" s="818"/>
      <c r="H20" s="818"/>
      <c r="I20" s="818"/>
      <c r="J20" s="818"/>
      <c r="K20" s="818"/>
      <c r="L20" s="818"/>
      <c r="M20" s="818"/>
      <c r="N20" s="818"/>
    </row>
    <row r="21" spans="1:14" ht="15.95" customHeight="1" x14ac:dyDescent="0.2">
      <c r="A21" s="3"/>
      <c r="B21" s="815"/>
      <c r="C21" s="832"/>
      <c r="D21" s="827"/>
      <c r="E21" s="827"/>
      <c r="F21" s="827"/>
      <c r="G21" s="818"/>
      <c r="H21" s="818"/>
      <c r="I21" s="818"/>
      <c r="J21" s="818"/>
      <c r="K21" s="818"/>
      <c r="L21" s="818"/>
      <c r="M21" s="818"/>
      <c r="N21" s="818"/>
    </row>
    <row r="22" spans="1:14" ht="15.95" customHeight="1" x14ac:dyDescent="0.2">
      <c r="A22" s="3"/>
      <c r="B22" s="814" t="s">
        <v>588</v>
      </c>
      <c r="C22" s="832"/>
      <c r="D22" s="827"/>
      <c r="E22" s="827"/>
      <c r="F22" s="827"/>
      <c r="G22" s="818"/>
      <c r="H22" s="818"/>
      <c r="I22" s="818"/>
      <c r="J22" s="818"/>
      <c r="K22" s="818"/>
      <c r="L22" s="818"/>
      <c r="M22" s="818"/>
      <c r="N22" s="818"/>
    </row>
    <row r="23" spans="1:14" ht="15.95" customHeight="1" x14ac:dyDescent="0.2">
      <c r="A23" s="3"/>
      <c r="B23" s="816" t="s">
        <v>589</v>
      </c>
      <c r="C23" s="832"/>
      <c r="D23" s="827"/>
      <c r="E23" s="827"/>
      <c r="F23" s="827">
        <f t="shared" si="0"/>
        <v>0</v>
      </c>
      <c r="G23" s="818"/>
      <c r="H23" s="818"/>
      <c r="I23" s="818"/>
      <c r="J23" s="818"/>
      <c r="K23" s="818"/>
      <c r="L23" s="818"/>
      <c r="M23" s="818"/>
      <c r="N23" s="818"/>
    </row>
    <row r="24" spans="1:14" s="213" customFormat="1" ht="15.95" customHeight="1" x14ac:dyDescent="0.2">
      <c r="B24" s="818" t="s">
        <v>106</v>
      </c>
      <c r="C24" s="835"/>
      <c r="D24" s="827">
        <v>820</v>
      </c>
      <c r="E24" s="827"/>
      <c r="F24" s="827">
        <f t="shared" si="0"/>
        <v>820</v>
      </c>
      <c r="G24" s="818"/>
      <c r="H24" s="831"/>
      <c r="I24" s="831"/>
      <c r="J24" s="831"/>
      <c r="K24" s="831"/>
      <c r="L24" s="831"/>
      <c r="M24" s="831"/>
      <c r="N24" s="831"/>
    </row>
    <row r="25" spans="1:14" s="213" customFormat="1" ht="15.95" customHeight="1" x14ac:dyDescent="0.2">
      <c r="B25" s="818" t="s">
        <v>548</v>
      </c>
      <c r="C25" s="835"/>
      <c r="D25" s="827">
        <v>9000</v>
      </c>
      <c r="E25" s="827"/>
      <c r="F25" s="827">
        <f>SUM(D25:E25)</f>
        <v>9000</v>
      </c>
      <c r="G25" s="818"/>
      <c r="H25" s="831"/>
      <c r="I25" s="831"/>
      <c r="J25" s="831"/>
      <c r="K25" s="831"/>
      <c r="L25" s="831"/>
      <c r="M25" s="831"/>
      <c r="N25" s="831"/>
    </row>
    <row r="26" spans="1:14" ht="15.95" customHeight="1" x14ac:dyDescent="0.2">
      <c r="A26" s="3"/>
      <c r="B26" s="816" t="s">
        <v>590</v>
      </c>
      <c r="C26" s="832"/>
      <c r="D26" s="827">
        <v>84</v>
      </c>
      <c r="E26" s="827"/>
      <c r="F26" s="827">
        <f t="shared" si="0"/>
        <v>84</v>
      </c>
      <c r="G26" s="818"/>
      <c r="H26" s="818"/>
      <c r="I26" s="818"/>
      <c r="J26" s="818"/>
      <c r="K26" s="818"/>
      <c r="L26" s="818"/>
      <c r="M26" s="818"/>
      <c r="N26" s="818"/>
    </row>
    <row r="27" spans="1:14" ht="15.95" customHeight="1" x14ac:dyDescent="0.2">
      <c r="A27" s="3"/>
      <c r="B27" s="816" t="s">
        <v>591</v>
      </c>
      <c r="C27" s="832"/>
      <c r="D27" s="827"/>
      <c r="E27" s="827"/>
      <c r="F27" s="827">
        <f t="shared" si="0"/>
        <v>0</v>
      </c>
      <c r="G27" s="818"/>
      <c r="H27" s="818"/>
      <c r="I27" s="818"/>
      <c r="J27" s="818"/>
      <c r="K27" s="818"/>
      <c r="L27" s="818"/>
      <c r="M27" s="818"/>
      <c r="N27" s="818"/>
    </row>
    <row r="28" spans="1:14" ht="15.95" customHeight="1" x14ac:dyDescent="0.2">
      <c r="A28" s="3"/>
      <c r="B28" s="815" t="s">
        <v>592</v>
      </c>
      <c r="C28" s="832"/>
      <c r="D28" s="830">
        <f>SUM(D23:D27)</f>
        <v>9904</v>
      </c>
      <c r="E28" s="830">
        <f>SUM(E23:E27)</f>
        <v>0</v>
      </c>
      <c r="F28" s="830">
        <f t="shared" si="0"/>
        <v>9904</v>
      </c>
      <c r="G28" s="818"/>
      <c r="H28" s="818"/>
      <c r="I28" s="818"/>
      <c r="J28" s="818"/>
      <c r="K28" s="818"/>
      <c r="L28" s="818"/>
      <c r="M28" s="818"/>
      <c r="N28" s="818"/>
    </row>
    <row r="29" spans="1:14" ht="15.95" customHeight="1" thickBot="1" x14ac:dyDescent="0.25">
      <c r="A29" s="3"/>
      <c r="B29" s="836"/>
      <c r="C29" s="837"/>
      <c r="D29" s="838"/>
      <c r="E29" s="838"/>
      <c r="F29" s="838">
        <f t="shared" si="0"/>
        <v>0</v>
      </c>
      <c r="G29" s="839"/>
      <c r="H29" s="839"/>
      <c r="I29" s="839"/>
      <c r="J29" s="839"/>
      <c r="K29" s="839"/>
      <c r="L29" s="839"/>
      <c r="M29" s="839"/>
      <c r="N29" s="839"/>
    </row>
    <row r="30" spans="1:14" ht="15.95" customHeight="1" thickBot="1" x14ac:dyDescent="0.25">
      <c r="A30" s="3"/>
      <c r="B30" s="840" t="s">
        <v>593</v>
      </c>
      <c r="C30" s="841"/>
      <c r="D30" s="842">
        <f>D13+D15+D20+D28</f>
        <v>376462</v>
      </c>
      <c r="E30" s="842">
        <f>E13+E15+E20+E28</f>
        <v>863942</v>
      </c>
      <c r="F30" s="842">
        <f>SUM(D30:E30)</f>
        <v>1240404</v>
      </c>
      <c r="G30" s="843"/>
      <c r="H30" s="843"/>
      <c r="I30" s="843"/>
      <c r="J30" s="843"/>
      <c r="K30" s="843"/>
      <c r="L30" s="843"/>
      <c r="M30" s="843"/>
      <c r="N30" s="844"/>
    </row>
    <row r="31" spans="1:14" ht="15.95" customHeight="1" x14ac:dyDescent="0.2">
      <c r="A31" s="3"/>
      <c r="G31" s="3"/>
      <c r="H31" s="3"/>
      <c r="I31" s="3"/>
    </row>
    <row r="32" spans="1:14" x14ac:dyDescent="0.2">
      <c r="A32" s="3"/>
      <c r="B32" s="3"/>
      <c r="C32" s="3"/>
      <c r="D32" s="3"/>
      <c r="E32" s="3"/>
      <c r="F32" s="3"/>
      <c r="G32" s="3"/>
      <c r="H32" s="3"/>
      <c r="I32" s="3"/>
    </row>
    <row r="33" spans="1:9" x14ac:dyDescent="0.2">
      <c r="A33" s="3"/>
      <c r="B33" s="3"/>
      <c r="C33" s="3"/>
      <c r="D33" s="3"/>
      <c r="E33" s="3"/>
      <c r="F33" s="3"/>
      <c r="G33" s="3"/>
      <c r="H33" s="3"/>
      <c r="I33" s="3"/>
    </row>
    <row r="34" spans="1:9" x14ac:dyDescent="0.2">
      <c r="A34" s="3"/>
      <c r="B34" s="3"/>
      <c r="C34" s="3"/>
      <c r="D34" s="3"/>
      <c r="E34" s="3"/>
      <c r="F34" s="3"/>
      <c r="G34" s="3"/>
      <c r="H34" s="3"/>
      <c r="I34" s="3"/>
    </row>
    <row r="35" spans="1:9" x14ac:dyDescent="0.2">
      <c r="A35" s="3"/>
      <c r="B35" s="3"/>
      <c r="C35" s="3"/>
      <c r="D35" s="3"/>
      <c r="E35" s="3"/>
      <c r="F35" s="3"/>
      <c r="G35" s="3"/>
      <c r="H35" s="3"/>
      <c r="I35" s="3"/>
    </row>
    <row r="36" spans="1:9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x14ac:dyDescent="0.2">
      <c r="A37" s="3"/>
      <c r="B37" s="3"/>
      <c r="C37" s="3"/>
      <c r="D37" s="3"/>
      <c r="E37" s="3"/>
      <c r="F37" s="3"/>
      <c r="G37" s="3"/>
      <c r="H37" s="3"/>
      <c r="I37" s="3"/>
    </row>
    <row r="38" spans="1:9" x14ac:dyDescent="0.2">
      <c r="A38" s="3"/>
      <c r="B38" s="3"/>
      <c r="C38" s="3"/>
      <c r="D38" s="3"/>
      <c r="E38" s="3"/>
      <c r="F38" s="3"/>
      <c r="G38" s="3"/>
      <c r="H38" s="3"/>
      <c r="I38" s="3"/>
    </row>
    <row r="39" spans="1:9" x14ac:dyDescent="0.2">
      <c r="A39" s="3"/>
      <c r="B39" s="3"/>
      <c r="C39" s="3"/>
      <c r="D39" s="3"/>
      <c r="E39" s="3"/>
      <c r="F39" s="3"/>
      <c r="G39" s="3"/>
      <c r="H39" s="3"/>
      <c r="I39" s="3"/>
    </row>
  </sheetData>
  <sheetProtection selectLockedCells="1" selectUnlockedCells="1"/>
  <mergeCells count="10">
    <mergeCell ref="J7:K7"/>
    <mergeCell ref="L7:N7"/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scale="81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J93"/>
  <sheetViews>
    <sheetView topLeftCell="C1" zoomScale="200" zoomScaleNormal="200" workbookViewId="0">
      <selection activeCell="F7" sqref="F7:J8"/>
    </sheetView>
  </sheetViews>
  <sheetFormatPr defaultColWidth="9.140625" defaultRowHeight="11.25" x14ac:dyDescent="0.2"/>
  <cols>
    <col min="1" max="1" width="4.85546875" style="117" customWidth="1"/>
    <col min="2" max="2" width="57.5703125" style="134" customWidth="1"/>
    <col min="3" max="3" width="8.7109375" style="114" customWidth="1"/>
    <col min="4" max="4" width="9.5703125" style="114" customWidth="1"/>
    <col min="5" max="5" width="8.28515625" style="114" customWidth="1"/>
    <col min="6" max="16384" width="9.140625" style="7"/>
  </cols>
  <sheetData>
    <row r="1" spans="1:10" x14ac:dyDescent="0.2">
      <c r="B1" s="1468" t="s">
        <v>1330</v>
      </c>
      <c r="C1" s="1468"/>
      <c r="D1" s="1468"/>
      <c r="E1" s="1468"/>
    </row>
    <row r="2" spans="1:10" x14ac:dyDescent="0.2">
      <c r="B2" s="135"/>
    </row>
    <row r="3" spans="1:10" x14ac:dyDescent="0.2">
      <c r="A3" s="1473" t="s">
        <v>54</v>
      </c>
      <c r="B3" s="1473"/>
      <c r="C3" s="1473"/>
      <c r="D3" s="1473"/>
      <c r="E3" s="1473"/>
    </row>
    <row r="4" spans="1:10" ht="11.25" customHeight="1" x14ac:dyDescent="0.2">
      <c r="A4" s="1473" t="s">
        <v>1180</v>
      </c>
      <c r="B4" s="1473"/>
      <c r="C4" s="1473"/>
      <c r="D4" s="1473"/>
      <c r="E4" s="1473"/>
    </row>
    <row r="5" spans="1:10" x14ac:dyDescent="0.2">
      <c r="A5" s="1473" t="s">
        <v>1143</v>
      </c>
      <c r="B5" s="1473"/>
      <c r="C5" s="1473"/>
      <c r="D5" s="1473"/>
      <c r="E5" s="1473"/>
    </row>
    <row r="6" spans="1:10" ht="12.75" x14ac:dyDescent="0.2">
      <c r="B6" s="1474" t="s">
        <v>303</v>
      </c>
      <c r="C6" s="1475"/>
      <c r="D6" s="1475"/>
      <c r="E6" s="1475"/>
    </row>
    <row r="7" spans="1:10" ht="24" customHeight="1" x14ac:dyDescent="0.2">
      <c r="A7" s="1410" t="s">
        <v>76</v>
      </c>
      <c r="B7" s="1469" t="s">
        <v>85</v>
      </c>
      <c r="C7" s="1471" t="s">
        <v>1169</v>
      </c>
      <c r="D7" s="1471"/>
      <c r="E7" s="1472"/>
      <c r="F7" s="1413" t="s">
        <v>1337</v>
      </c>
      <c r="G7" s="1413"/>
      <c r="H7" s="1413" t="s">
        <v>1338</v>
      </c>
      <c r="I7" s="1413"/>
      <c r="J7" s="1413"/>
    </row>
    <row r="8" spans="1:10" ht="21" x14ac:dyDescent="0.2">
      <c r="A8" s="1410"/>
      <c r="B8" s="1470"/>
      <c r="C8" s="574" t="s">
        <v>62</v>
      </c>
      <c r="D8" s="574" t="s">
        <v>63</v>
      </c>
      <c r="E8" s="881" t="s">
        <v>64</v>
      </c>
      <c r="F8" s="735" t="s">
        <v>62</v>
      </c>
      <c r="G8" s="735" t="s">
        <v>63</v>
      </c>
      <c r="H8" s="735" t="s">
        <v>62</v>
      </c>
      <c r="I8" s="735" t="s">
        <v>63</v>
      </c>
      <c r="J8" s="735" t="s">
        <v>64</v>
      </c>
    </row>
    <row r="9" spans="1:10" x14ac:dyDescent="0.2">
      <c r="A9" s="552" t="s">
        <v>480</v>
      </c>
      <c r="B9" s="576" t="s">
        <v>86</v>
      </c>
      <c r="C9" s="119"/>
      <c r="D9" s="119"/>
      <c r="E9" s="575"/>
      <c r="F9" s="573"/>
    </row>
    <row r="10" spans="1:10" ht="12" thickBot="1" x14ac:dyDescent="0.25">
      <c r="A10" s="552" t="s">
        <v>488</v>
      </c>
      <c r="B10" s="136" t="s">
        <v>87</v>
      </c>
      <c r="C10" s="200"/>
      <c r="D10" s="119"/>
      <c r="E10" s="327">
        <f>SUM(C10:D10)</f>
        <v>0</v>
      </c>
      <c r="F10" s="573"/>
    </row>
    <row r="11" spans="1:10" s="8" customFormat="1" ht="12" thickBot="1" x14ac:dyDescent="0.25">
      <c r="A11" s="684" t="s">
        <v>489</v>
      </c>
      <c r="B11" s="861" t="s">
        <v>164</v>
      </c>
      <c r="C11" s="811">
        <f>C12+C13+C14+C15</f>
        <v>781948</v>
      </c>
      <c r="D11" s="811">
        <f t="shared" ref="D11:E11" si="0">D12+D13+D14+D15</f>
        <v>106500</v>
      </c>
      <c r="E11" s="811">
        <f t="shared" si="0"/>
        <v>888448</v>
      </c>
      <c r="F11" s="862"/>
      <c r="G11" s="862"/>
      <c r="H11" s="862"/>
      <c r="I11" s="862"/>
      <c r="J11" s="863"/>
    </row>
    <row r="12" spans="1:10" s="8" customFormat="1" x14ac:dyDescent="0.2">
      <c r="A12" s="857" t="s">
        <v>490</v>
      </c>
      <c r="B12" s="858" t="s">
        <v>161</v>
      </c>
      <c r="C12" s="859">
        <v>604730</v>
      </c>
      <c r="D12" s="859"/>
      <c r="E12" s="859">
        <f t="shared" ref="E12:E15" si="1">C12+D12</f>
        <v>604730</v>
      </c>
      <c r="F12" s="860"/>
      <c r="G12" s="860"/>
      <c r="H12" s="860"/>
      <c r="I12" s="860"/>
      <c r="J12" s="860"/>
    </row>
    <row r="13" spans="1:10" s="8" customFormat="1" x14ac:dyDescent="0.2">
      <c r="A13" s="799" t="s">
        <v>491</v>
      </c>
      <c r="B13" s="847" t="s">
        <v>162</v>
      </c>
      <c r="C13" s="848">
        <v>85256</v>
      </c>
      <c r="D13" s="848"/>
      <c r="E13" s="848">
        <f t="shared" si="1"/>
        <v>85256</v>
      </c>
      <c r="F13" s="846"/>
      <c r="G13" s="846"/>
      <c r="H13" s="846"/>
      <c r="I13" s="846"/>
      <c r="J13" s="846"/>
    </row>
    <row r="14" spans="1:10" s="8" customFormat="1" x14ac:dyDescent="0.2">
      <c r="A14" s="799" t="s">
        <v>492</v>
      </c>
      <c r="B14" s="847" t="s">
        <v>163</v>
      </c>
      <c r="C14" s="848">
        <v>85072</v>
      </c>
      <c r="D14" s="848">
        <v>106500</v>
      </c>
      <c r="E14" s="848">
        <f t="shared" si="1"/>
        <v>191572</v>
      </c>
      <c r="F14" s="846"/>
      <c r="G14" s="846"/>
      <c r="H14" s="846"/>
      <c r="I14" s="846"/>
      <c r="J14" s="846"/>
    </row>
    <row r="15" spans="1:10" s="8" customFormat="1" x14ac:dyDescent="0.2">
      <c r="A15" s="799" t="s">
        <v>493</v>
      </c>
      <c r="B15" s="847" t="s">
        <v>180</v>
      </c>
      <c r="C15" s="744">
        <v>6890</v>
      </c>
      <c r="D15" s="744"/>
      <c r="E15" s="744">
        <f t="shared" si="1"/>
        <v>6890</v>
      </c>
      <c r="F15" s="846"/>
      <c r="G15" s="846"/>
      <c r="H15" s="846"/>
      <c r="I15" s="846"/>
      <c r="J15" s="846"/>
    </row>
    <row r="16" spans="1:10" s="8" customFormat="1" ht="12" thickBot="1" x14ac:dyDescent="0.25">
      <c r="A16" s="808" t="s">
        <v>494</v>
      </c>
      <c r="B16" s="864" t="s">
        <v>165</v>
      </c>
      <c r="C16" s="810">
        <v>0</v>
      </c>
      <c r="D16" s="810"/>
      <c r="E16" s="810">
        <v>0</v>
      </c>
      <c r="F16" s="865"/>
      <c r="G16" s="865"/>
      <c r="H16" s="865"/>
      <c r="I16" s="865"/>
      <c r="J16" s="865"/>
    </row>
    <row r="17" spans="1:10" s="8" customFormat="1" ht="12" thickBot="1" x14ac:dyDescent="0.25">
      <c r="A17" s="684" t="s">
        <v>495</v>
      </c>
      <c r="B17" s="861" t="s">
        <v>188</v>
      </c>
      <c r="C17" s="682">
        <v>268</v>
      </c>
      <c r="D17" s="682"/>
      <c r="E17" s="682">
        <f>C17+D17</f>
        <v>268</v>
      </c>
      <c r="F17" s="862"/>
      <c r="G17" s="862"/>
      <c r="H17" s="862"/>
      <c r="I17" s="862"/>
      <c r="J17" s="863"/>
    </row>
    <row r="18" spans="1:10" s="8" customFormat="1" ht="12" thickBot="1" x14ac:dyDescent="0.25">
      <c r="A18" s="867" t="s">
        <v>531</v>
      </c>
      <c r="B18" s="871" t="s">
        <v>283</v>
      </c>
      <c r="C18" s="682">
        <v>0</v>
      </c>
      <c r="D18" s="682">
        <v>0</v>
      </c>
      <c r="E18" s="682">
        <f>C18+D18</f>
        <v>0</v>
      </c>
      <c r="F18" s="862"/>
      <c r="G18" s="862"/>
      <c r="H18" s="862"/>
      <c r="I18" s="862"/>
      <c r="J18" s="863"/>
    </row>
    <row r="19" spans="1:10" x14ac:dyDescent="0.2">
      <c r="A19" s="799" t="s">
        <v>532</v>
      </c>
      <c r="B19" s="868"/>
      <c r="C19" s="869"/>
      <c r="D19" s="869"/>
      <c r="E19" s="869"/>
      <c r="F19" s="870"/>
      <c r="G19" s="870"/>
      <c r="H19" s="870"/>
      <c r="I19" s="870"/>
      <c r="J19" s="870"/>
    </row>
    <row r="20" spans="1:10" x14ac:dyDescent="0.2">
      <c r="A20" s="799" t="s">
        <v>533</v>
      </c>
      <c r="B20" s="845" t="s">
        <v>17</v>
      </c>
      <c r="C20" s="742"/>
      <c r="D20" s="742"/>
      <c r="E20" s="742"/>
      <c r="F20" s="850"/>
      <c r="G20" s="850"/>
      <c r="H20" s="850"/>
      <c r="I20" s="850"/>
      <c r="J20" s="850"/>
    </row>
    <row r="21" spans="1:10" x14ac:dyDescent="0.2">
      <c r="A21" s="799" t="s">
        <v>534</v>
      </c>
      <c r="B21" s="759" t="s">
        <v>966</v>
      </c>
      <c r="C21" s="758">
        <f>C22</f>
        <v>0</v>
      </c>
      <c r="D21" s="758">
        <f t="shared" ref="D21" si="2">D22</f>
        <v>275</v>
      </c>
      <c r="E21" s="758">
        <f t="shared" ref="E21" si="3">E22</f>
        <v>275</v>
      </c>
      <c r="F21" s="850"/>
      <c r="G21" s="850"/>
      <c r="H21" s="850"/>
      <c r="I21" s="850"/>
      <c r="J21" s="850"/>
    </row>
    <row r="22" spans="1:10" x14ac:dyDescent="0.2">
      <c r="A22" s="799" t="s">
        <v>535</v>
      </c>
      <c r="B22" s="745" t="s">
        <v>1301</v>
      </c>
      <c r="C22" s="751"/>
      <c r="D22" s="751">
        <v>275</v>
      </c>
      <c r="E22" s="751">
        <f>SUM(C22:D22)</f>
        <v>275</v>
      </c>
      <c r="F22" s="850"/>
      <c r="G22" s="850"/>
      <c r="H22" s="850"/>
      <c r="I22" s="850"/>
      <c r="J22" s="850"/>
    </row>
    <row r="23" spans="1:10" x14ac:dyDescent="0.2">
      <c r="A23" s="799" t="s">
        <v>536</v>
      </c>
      <c r="B23" s="759" t="s">
        <v>1302</v>
      </c>
      <c r="C23" s="758">
        <f>C24</f>
        <v>350</v>
      </c>
      <c r="D23" s="758">
        <f t="shared" ref="D23" si="4">D24</f>
        <v>0</v>
      </c>
      <c r="E23" s="758">
        <f t="shared" ref="E23" si="5">E24</f>
        <v>350</v>
      </c>
      <c r="F23" s="850"/>
      <c r="G23" s="850"/>
      <c r="H23" s="850"/>
      <c r="I23" s="850"/>
      <c r="J23" s="850"/>
    </row>
    <row r="24" spans="1:10" x14ac:dyDescent="0.2">
      <c r="A24" s="799" t="s">
        <v>537</v>
      </c>
      <c r="B24" s="745" t="s">
        <v>158</v>
      </c>
      <c r="C24" s="751">
        <v>350</v>
      </c>
      <c r="D24" s="751"/>
      <c r="E24" s="751">
        <f>SUM(C24:D24)</f>
        <v>350</v>
      </c>
      <c r="F24" s="850"/>
      <c r="G24" s="850"/>
      <c r="H24" s="850"/>
      <c r="I24" s="850"/>
      <c r="J24" s="850"/>
    </row>
    <row r="25" spans="1:10" x14ac:dyDescent="0.2">
      <c r="A25" s="799" t="s">
        <v>538</v>
      </c>
      <c r="B25" s="847" t="s">
        <v>1307</v>
      </c>
      <c r="C25" s="742">
        <f>SUM(C26:C31)</f>
        <v>2232</v>
      </c>
      <c r="D25" s="742">
        <f>SUM(D26:D32)</f>
        <v>23050</v>
      </c>
      <c r="E25" s="742">
        <f>SUM(E26:E32)</f>
        <v>25282</v>
      </c>
      <c r="F25" s="850"/>
      <c r="G25" s="850"/>
      <c r="H25" s="850"/>
      <c r="I25" s="850"/>
      <c r="J25" s="850"/>
    </row>
    <row r="26" spans="1:10" x14ac:dyDescent="0.2">
      <c r="A26" s="799" t="s">
        <v>540</v>
      </c>
      <c r="B26" s="849" t="s">
        <v>1188</v>
      </c>
      <c r="C26" s="744">
        <v>0</v>
      </c>
      <c r="D26" s="744"/>
      <c r="E26" s="744">
        <f>C26+D26</f>
        <v>0</v>
      </c>
      <c r="F26" s="850"/>
      <c r="G26" s="850"/>
      <c r="H26" s="850"/>
      <c r="I26" s="850"/>
      <c r="J26" s="850"/>
    </row>
    <row r="27" spans="1:10" x14ac:dyDescent="0.2">
      <c r="A27" s="799" t="s">
        <v>541</v>
      </c>
      <c r="B27" s="849" t="s">
        <v>1187</v>
      </c>
      <c r="C27" s="751">
        <v>2232</v>
      </c>
      <c r="D27" s="751"/>
      <c r="E27" s="751">
        <f>C27+D27</f>
        <v>2232</v>
      </c>
      <c r="F27" s="850"/>
      <c r="G27" s="850"/>
      <c r="H27" s="850"/>
      <c r="I27" s="850"/>
      <c r="J27" s="850"/>
    </row>
    <row r="28" spans="1:10" x14ac:dyDescent="0.2">
      <c r="A28" s="799" t="s">
        <v>542</v>
      </c>
      <c r="B28" s="849" t="s">
        <v>550</v>
      </c>
      <c r="C28" s="744">
        <v>0</v>
      </c>
      <c r="D28" s="744"/>
      <c r="E28" s="744">
        <f t="shared" ref="E28:E31" si="6">SUM(C28:D28)</f>
        <v>0</v>
      </c>
      <c r="F28" s="850"/>
      <c r="G28" s="850"/>
      <c r="H28" s="850"/>
      <c r="I28" s="850"/>
      <c r="J28" s="850"/>
    </row>
    <row r="29" spans="1:10" x14ac:dyDescent="0.2">
      <c r="A29" s="799" t="s">
        <v>543</v>
      </c>
      <c r="B29" s="849" t="s">
        <v>158</v>
      </c>
      <c r="C29" s="751">
        <v>0</v>
      </c>
      <c r="D29" s="751"/>
      <c r="E29" s="751">
        <f t="shared" si="6"/>
        <v>0</v>
      </c>
      <c r="F29" s="850"/>
      <c r="G29" s="850"/>
      <c r="H29" s="850"/>
      <c r="I29" s="850"/>
      <c r="J29" s="850"/>
    </row>
    <row r="30" spans="1:10" s="720" customFormat="1" ht="22.5" x14ac:dyDescent="0.2">
      <c r="A30" s="799" t="s">
        <v>544</v>
      </c>
      <c r="B30" s="851" t="s">
        <v>1232</v>
      </c>
      <c r="C30" s="852"/>
      <c r="D30" s="852">
        <v>8510</v>
      </c>
      <c r="E30" s="852">
        <f t="shared" si="6"/>
        <v>8510</v>
      </c>
      <c r="F30" s="853"/>
      <c r="G30" s="853"/>
      <c r="H30" s="853"/>
      <c r="I30" s="853"/>
      <c r="J30" s="853"/>
    </row>
    <row r="31" spans="1:10" x14ac:dyDescent="0.2">
      <c r="A31" s="799" t="s">
        <v>545</v>
      </c>
      <c r="B31" s="849" t="s">
        <v>1122</v>
      </c>
      <c r="C31" s="744"/>
      <c r="D31" s="744">
        <v>0</v>
      </c>
      <c r="E31" s="744">
        <f t="shared" si="6"/>
        <v>0</v>
      </c>
      <c r="F31" s="850"/>
      <c r="G31" s="850"/>
      <c r="H31" s="850"/>
      <c r="I31" s="850"/>
      <c r="J31" s="850"/>
    </row>
    <row r="32" spans="1:10" ht="23.25" customHeight="1" x14ac:dyDescent="0.2">
      <c r="A32" s="799" t="s">
        <v>546</v>
      </c>
      <c r="B32" s="851" t="s">
        <v>1276</v>
      </c>
      <c r="C32" s="744"/>
      <c r="D32" s="744">
        <v>14540</v>
      </c>
      <c r="E32" s="744">
        <f>D32+C32</f>
        <v>14540</v>
      </c>
      <c r="F32" s="850"/>
      <c r="G32" s="850"/>
      <c r="H32" s="850"/>
      <c r="I32" s="850"/>
      <c r="J32" s="850"/>
    </row>
    <row r="33" spans="1:10" ht="10.5" customHeight="1" x14ac:dyDescent="0.2">
      <c r="A33" s="799" t="s">
        <v>547</v>
      </c>
      <c r="B33" s="759" t="s">
        <v>1303</v>
      </c>
      <c r="C33" s="758">
        <f>C34</f>
        <v>0</v>
      </c>
      <c r="D33" s="758">
        <f t="shared" ref="D33" si="7">D34</f>
        <v>2468</v>
      </c>
      <c r="E33" s="758">
        <f t="shared" ref="E33" si="8">E34</f>
        <v>2468</v>
      </c>
      <c r="F33" s="850"/>
      <c r="G33" s="850"/>
      <c r="H33" s="850"/>
      <c r="I33" s="850"/>
      <c r="J33" s="850"/>
    </row>
    <row r="34" spans="1:10" ht="10.5" customHeight="1" x14ac:dyDescent="0.2">
      <c r="A34" s="799" t="s">
        <v>567</v>
      </c>
      <c r="B34" s="854" t="s">
        <v>1122</v>
      </c>
      <c r="C34" s="744"/>
      <c r="D34" s="744">
        <v>2468</v>
      </c>
      <c r="E34" s="744">
        <f>SUM(C34:D34)</f>
        <v>2468</v>
      </c>
      <c r="F34" s="850"/>
      <c r="G34" s="850"/>
      <c r="H34" s="850"/>
      <c r="I34" s="850"/>
      <c r="J34" s="850"/>
    </row>
    <row r="35" spans="1:10" x14ac:dyDescent="0.2">
      <c r="A35" s="799" t="s">
        <v>568</v>
      </c>
      <c r="B35" s="847" t="s">
        <v>71</v>
      </c>
      <c r="C35" s="758">
        <f>SUM(C36:C36)</f>
        <v>4485</v>
      </c>
      <c r="D35" s="758">
        <f>SUM(D36:D36)</f>
        <v>0</v>
      </c>
      <c r="E35" s="758">
        <f>SUM(E36:E36)</f>
        <v>4485</v>
      </c>
      <c r="F35" s="850"/>
      <c r="G35" s="850"/>
      <c r="H35" s="850"/>
      <c r="I35" s="850"/>
      <c r="J35" s="850"/>
    </row>
    <row r="36" spans="1:10" ht="12" thickBot="1" x14ac:dyDescent="0.25">
      <c r="A36" s="808" t="s">
        <v>569</v>
      </c>
      <c r="B36" s="770" t="s">
        <v>91</v>
      </c>
      <c r="C36" s="872">
        <v>4485</v>
      </c>
      <c r="D36" s="872"/>
      <c r="E36" s="872">
        <f t="shared" ref="E36" si="9">C36+D36</f>
        <v>4485</v>
      </c>
      <c r="F36" s="873"/>
      <c r="G36" s="873"/>
      <c r="H36" s="873"/>
      <c r="I36" s="873"/>
      <c r="J36" s="873"/>
    </row>
    <row r="37" spans="1:10" ht="12" thickBot="1" x14ac:dyDescent="0.25">
      <c r="A37" s="684" t="s">
        <v>570</v>
      </c>
      <c r="B37" s="683" t="s">
        <v>159</v>
      </c>
      <c r="C37" s="675">
        <f>C25+C35+C21+C23+C33</f>
        <v>7067</v>
      </c>
      <c r="D37" s="675">
        <f t="shared" ref="D37:E37" si="10">D25+D35+D21+D23+D33</f>
        <v>25793</v>
      </c>
      <c r="E37" s="675">
        <f t="shared" si="10"/>
        <v>32860</v>
      </c>
      <c r="F37" s="876"/>
      <c r="G37" s="876"/>
      <c r="H37" s="876"/>
      <c r="I37" s="876"/>
      <c r="J37" s="877"/>
    </row>
    <row r="38" spans="1:10" x14ac:dyDescent="0.2">
      <c r="A38" s="857" t="s">
        <v>571</v>
      </c>
      <c r="B38" s="874"/>
      <c r="C38" s="875"/>
      <c r="D38" s="875"/>
      <c r="E38" s="875"/>
      <c r="F38" s="870"/>
      <c r="G38" s="870"/>
      <c r="H38" s="870"/>
      <c r="I38" s="870"/>
      <c r="J38" s="870"/>
    </row>
    <row r="39" spans="1:10" x14ac:dyDescent="0.2">
      <c r="A39" s="799" t="s">
        <v>572</v>
      </c>
      <c r="B39" s="745" t="s">
        <v>967</v>
      </c>
      <c r="C39" s="742"/>
      <c r="D39" s="742"/>
      <c r="E39" s="742"/>
      <c r="F39" s="850"/>
      <c r="G39" s="850"/>
      <c r="H39" s="850"/>
      <c r="I39" s="850"/>
      <c r="J39" s="850"/>
    </row>
    <row r="40" spans="1:10" x14ac:dyDescent="0.2">
      <c r="A40" s="799"/>
      <c r="B40" s="745"/>
      <c r="C40" s="742"/>
      <c r="D40" s="742"/>
      <c r="E40" s="742"/>
      <c r="F40" s="850"/>
      <c r="G40" s="850"/>
      <c r="H40" s="850"/>
      <c r="I40" s="850"/>
      <c r="J40" s="850"/>
    </row>
    <row r="41" spans="1:10" x14ac:dyDescent="0.2">
      <c r="A41" s="799" t="s">
        <v>573</v>
      </c>
      <c r="B41" s="745"/>
      <c r="C41" s="742"/>
      <c r="D41" s="744"/>
      <c r="E41" s="744"/>
      <c r="F41" s="850"/>
      <c r="G41" s="850"/>
      <c r="H41" s="850"/>
      <c r="I41" s="850"/>
      <c r="J41" s="850"/>
    </row>
    <row r="42" spans="1:10" x14ac:dyDescent="0.2">
      <c r="A42" s="799" t="s">
        <v>574</v>
      </c>
      <c r="B42" s="760" t="s">
        <v>967</v>
      </c>
      <c r="C42" s="742">
        <f>SUM(C41:C41)</f>
        <v>0</v>
      </c>
      <c r="D42" s="742">
        <f>SUM(D41:D41)</f>
        <v>0</v>
      </c>
      <c r="E42" s="742">
        <f>SUM(E41:E41)</f>
        <v>0</v>
      </c>
      <c r="F42" s="850"/>
      <c r="G42" s="850"/>
      <c r="H42" s="850"/>
      <c r="I42" s="850"/>
      <c r="J42" s="850"/>
    </row>
    <row r="43" spans="1:10" ht="12" thickBot="1" x14ac:dyDescent="0.25">
      <c r="A43" s="808" t="s">
        <v>575</v>
      </c>
      <c r="B43" s="767"/>
      <c r="C43" s="810"/>
      <c r="D43" s="810"/>
      <c r="E43" s="810"/>
      <c r="F43" s="873"/>
      <c r="G43" s="873"/>
      <c r="H43" s="873"/>
      <c r="I43" s="873"/>
      <c r="J43" s="873"/>
    </row>
    <row r="44" spans="1:10" ht="12" thickBot="1" x14ac:dyDescent="0.25">
      <c r="A44" s="684" t="s">
        <v>627</v>
      </c>
      <c r="B44" s="683" t="s">
        <v>92</v>
      </c>
      <c r="C44" s="675">
        <f>C11+C16+IC17+C18+C25+C35+C42+C17+C23+C33+C21</f>
        <v>789283</v>
      </c>
      <c r="D44" s="675">
        <f>D11+D16+ID17+D18+D25+D35+D42+D17+D23+D33+D21</f>
        <v>132293</v>
      </c>
      <c r="E44" s="675">
        <f>E11+E16+IE17+E18+E25+E35+E42+E17+E23+E33+E21</f>
        <v>921576</v>
      </c>
      <c r="F44" s="876"/>
      <c r="G44" s="876"/>
      <c r="H44" s="876"/>
      <c r="I44" s="876"/>
      <c r="J44" s="877"/>
    </row>
    <row r="45" spans="1:10" x14ac:dyDescent="0.2">
      <c r="A45" s="857" t="s">
        <v>628</v>
      </c>
      <c r="B45" s="874"/>
      <c r="C45" s="875"/>
      <c r="D45" s="875"/>
      <c r="E45" s="875"/>
      <c r="F45" s="870"/>
      <c r="G45" s="870"/>
      <c r="H45" s="870"/>
      <c r="I45" s="870"/>
      <c r="J45" s="870"/>
    </row>
    <row r="46" spans="1:10" x14ac:dyDescent="0.2">
      <c r="A46" s="799" t="s">
        <v>629</v>
      </c>
      <c r="B46" s="855" t="s">
        <v>328</v>
      </c>
      <c r="C46" s="742"/>
      <c r="D46" s="742"/>
      <c r="E46" s="742"/>
      <c r="F46" s="850"/>
      <c r="G46" s="850"/>
      <c r="H46" s="850"/>
      <c r="I46" s="850"/>
      <c r="J46" s="850"/>
    </row>
    <row r="47" spans="1:10" x14ac:dyDescent="0.2">
      <c r="A47" s="799" t="s">
        <v>630</v>
      </c>
      <c r="B47" s="745" t="s">
        <v>1099</v>
      </c>
      <c r="C47" s="744">
        <v>2800</v>
      </c>
      <c r="D47" s="744"/>
      <c r="E47" s="744">
        <f>SUM(C47:D47)</f>
        <v>2800</v>
      </c>
      <c r="F47" s="850"/>
      <c r="G47" s="850"/>
      <c r="H47" s="850"/>
      <c r="I47" s="850"/>
      <c r="J47" s="850"/>
    </row>
    <row r="48" spans="1:10" ht="12" thickBot="1" x14ac:dyDescent="0.25">
      <c r="A48" s="808" t="s">
        <v>116</v>
      </c>
      <c r="B48" s="767" t="s">
        <v>19</v>
      </c>
      <c r="C48" s="810">
        <f>SUM(C47)</f>
        <v>2800</v>
      </c>
      <c r="D48" s="810">
        <f t="shared" ref="D48:E48" si="11">SUM(D47)</f>
        <v>0</v>
      </c>
      <c r="E48" s="810">
        <f t="shared" si="11"/>
        <v>2800</v>
      </c>
      <c r="F48" s="873"/>
      <c r="G48" s="873"/>
      <c r="H48" s="873"/>
      <c r="I48" s="873"/>
      <c r="J48" s="873"/>
    </row>
    <row r="49" spans="1:10" ht="12" thickBot="1" x14ac:dyDescent="0.25">
      <c r="A49" s="684" t="s">
        <v>655</v>
      </c>
      <c r="B49" s="683" t="s">
        <v>669</v>
      </c>
      <c r="C49" s="675">
        <f>SUM(C48)</f>
        <v>2800</v>
      </c>
      <c r="D49" s="675">
        <f>SUM(D48)</f>
        <v>0</v>
      </c>
      <c r="E49" s="675">
        <f>SUM(C49:D49)</f>
        <v>2800</v>
      </c>
      <c r="F49" s="876"/>
      <c r="G49" s="876"/>
      <c r="H49" s="876"/>
      <c r="I49" s="876"/>
      <c r="J49" s="877"/>
    </row>
    <row r="50" spans="1:10" x14ac:dyDescent="0.2">
      <c r="A50" s="857" t="s">
        <v>656</v>
      </c>
      <c r="B50" s="874"/>
      <c r="C50" s="875"/>
      <c r="D50" s="875"/>
      <c r="E50" s="875"/>
      <c r="F50" s="870"/>
      <c r="G50" s="870"/>
      <c r="H50" s="870"/>
      <c r="I50" s="870"/>
      <c r="J50" s="870"/>
    </row>
    <row r="51" spans="1:10" x14ac:dyDescent="0.2">
      <c r="A51" s="799" t="s">
        <v>119</v>
      </c>
      <c r="B51" s="855" t="s">
        <v>670</v>
      </c>
      <c r="C51" s="742"/>
      <c r="D51" s="742"/>
      <c r="E51" s="742"/>
      <c r="F51" s="850"/>
      <c r="G51" s="850"/>
      <c r="H51" s="850"/>
      <c r="I51" s="850"/>
      <c r="J51" s="850"/>
    </row>
    <row r="52" spans="1:10" x14ac:dyDescent="0.2">
      <c r="A52" s="799" t="s">
        <v>120</v>
      </c>
      <c r="B52" s="745" t="s">
        <v>166</v>
      </c>
      <c r="C52" s="744"/>
      <c r="D52" s="744">
        <v>565</v>
      </c>
      <c r="E52" s="744">
        <f>SUM(C52:D52)</f>
        <v>565</v>
      </c>
      <c r="F52" s="850"/>
      <c r="G52" s="850"/>
      <c r="H52" s="850"/>
      <c r="I52" s="850"/>
      <c r="J52" s="850"/>
    </row>
    <row r="53" spans="1:10" x14ac:dyDescent="0.2">
      <c r="A53" s="799" t="s">
        <v>121</v>
      </c>
      <c r="B53" s="745" t="s">
        <v>167</v>
      </c>
      <c r="C53" s="744"/>
      <c r="D53" s="744"/>
      <c r="E53" s="744"/>
      <c r="F53" s="850"/>
      <c r="G53" s="850"/>
      <c r="H53" s="850"/>
      <c r="I53" s="850"/>
      <c r="J53" s="850"/>
    </row>
    <row r="54" spans="1:10" ht="12" thickBot="1" x14ac:dyDescent="0.25">
      <c r="A54" s="808" t="s">
        <v>124</v>
      </c>
      <c r="B54" s="767" t="s">
        <v>19</v>
      </c>
      <c r="C54" s="810">
        <f>SUM(C52:C53)</f>
        <v>0</v>
      </c>
      <c r="D54" s="810">
        <f>SUM(D52:D53)</f>
        <v>565</v>
      </c>
      <c r="E54" s="810">
        <f>SUM(E52:E53)</f>
        <v>565</v>
      </c>
      <c r="F54" s="873"/>
      <c r="G54" s="873"/>
      <c r="H54" s="873"/>
      <c r="I54" s="873"/>
      <c r="J54" s="873"/>
    </row>
    <row r="55" spans="1:10" ht="12" thickBot="1" x14ac:dyDescent="0.25">
      <c r="A55" s="684" t="s">
        <v>127</v>
      </c>
      <c r="B55" s="683" t="s">
        <v>168</v>
      </c>
      <c r="C55" s="675">
        <f>C54</f>
        <v>0</v>
      </c>
      <c r="D55" s="675">
        <f>D54</f>
        <v>565</v>
      </c>
      <c r="E55" s="675">
        <f>E54</f>
        <v>565</v>
      </c>
      <c r="F55" s="876"/>
      <c r="G55" s="876"/>
      <c r="H55" s="876"/>
      <c r="I55" s="876"/>
      <c r="J55" s="877"/>
    </row>
    <row r="56" spans="1:10" x14ac:dyDescent="0.2">
      <c r="A56" s="857" t="s">
        <v>128</v>
      </c>
      <c r="B56" s="874"/>
      <c r="C56" s="875"/>
      <c r="D56" s="875"/>
      <c r="E56" s="875"/>
      <c r="F56" s="870"/>
      <c r="G56" s="870"/>
      <c r="H56" s="870"/>
      <c r="I56" s="870"/>
      <c r="J56" s="870"/>
    </row>
    <row r="57" spans="1:10" x14ac:dyDescent="0.2">
      <c r="A57" s="799" t="s">
        <v>129</v>
      </c>
      <c r="B57" s="855" t="s">
        <v>1144</v>
      </c>
      <c r="C57" s="742"/>
      <c r="D57" s="742"/>
      <c r="E57" s="742"/>
      <c r="F57" s="850"/>
      <c r="G57" s="850"/>
      <c r="H57" s="850"/>
      <c r="I57" s="850"/>
      <c r="J57" s="850"/>
    </row>
    <row r="58" spans="1:10" x14ac:dyDescent="0.2">
      <c r="A58" s="799" t="s">
        <v>130</v>
      </c>
      <c r="B58" s="745" t="s">
        <v>166</v>
      </c>
      <c r="C58" s="742"/>
      <c r="D58" s="744"/>
      <c r="E58" s="751">
        <f>C58+D58</f>
        <v>0</v>
      </c>
      <c r="F58" s="856"/>
      <c r="G58" s="850"/>
      <c r="H58" s="850"/>
      <c r="I58" s="850"/>
      <c r="J58" s="850"/>
    </row>
    <row r="59" spans="1:10" x14ac:dyDescent="0.2">
      <c r="A59" s="799" t="s">
        <v>133</v>
      </c>
      <c r="B59" s="760" t="s">
        <v>19</v>
      </c>
      <c r="C59" s="742">
        <f>C58</f>
        <v>0</v>
      </c>
      <c r="D59" s="742">
        <f t="shared" ref="D59:E59" si="12">D58</f>
        <v>0</v>
      </c>
      <c r="E59" s="758">
        <f t="shared" si="12"/>
        <v>0</v>
      </c>
      <c r="F59" s="850"/>
      <c r="G59" s="850"/>
      <c r="H59" s="850"/>
      <c r="I59" s="850"/>
      <c r="J59" s="850"/>
    </row>
    <row r="60" spans="1:10" x14ac:dyDescent="0.2">
      <c r="A60" s="799" t="s">
        <v>136</v>
      </c>
      <c r="B60" s="745" t="s">
        <v>1145</v>
      </c>
      <c r="C60" s="742"/>
      <c r="D60" s="744">
        <v>0</v>
      </c>
      <c r="E60" s="744">
        <f>C60+D60</f>
        <v>0</v>
      </c>
      <c r="F60" s="850"/>
      <c r="G60" s="850"/>
      <c r="H60" s="850"/>
      <c r="I60" s="850"/>
      <c r="J60" s="850"/>
    </row>
    <row r="61" spans="1:10" ht="12" thickBot="1" x14ac:dyDescent="0.25">
      <c r="A61" s="808" t="s">
        <v>139</v>
      </c>
      <c r="B61" s="767" t="s">
        <v>967</v>
      </c>
      <c r="C61" s="810">
        <f>C60</f>
        <v>0</v>
      </c>
      <c r="D61" s="810">
        <f t="shared" ref="D61:E61" si="13">D60</f>
        <v>0</v>
      </c>
      <c r="E61" s="810">
        <f t="shared" si="13"/>
        <v>0</v>
      </c>
      <c r="F61" s="873"/>
      <c r="G61" s="873"/>
      <c r="H61" s="873"/>
      <c r="I61" s="873"/>
      <c r="J61" s="873"/>
    </row>
    <row r="62" spans="1:10" ht="12" thickBot="1" x14ac:dyDescent="0.25">
      <c r="A62" s="684" t="s">
        <v>140</v>
      </c>
      <c r="B62" s="683" t="s">
        <v>1146</v>
      </c>
      <c r="C62" s="675">
        <f>C59+C61</f>
        <v>0</v>
      </c>
      <c r="D62" s="675">
        <f t="shared" ref="D62:E62" si="14">D59+D61</f>
        <v>0</v>
      </c>
      <c r="E62" s="675">
        <f t="shared" si="14"/>
        <v>0</v>
      </c>
      <c r="F62" s="876"/>
      <c r="G62" s="876"/>
      <c r="H62" s="876"/>
      <c r="I62" s="876"/>
      <c r="J62" s="877"/>
    </row>
    <row r="63" spans="1:10" x14ac:dyDescent="0.2">
      <c r="A63" s="857" t="s">
        <v>143</v>
      </c>
      <c r="B63" s="874"/>
      <c r="C63" s="869"/>
      <c r="D63" s="869"/>
      <c r="E63" s="869"/>
      <c r="F63" s="870"/>
      <c r="G63" s="870"/>
      <c r="H63" s="870"/>
      <c r="I63" s="870"/>
      <c r="J63" s="870"/>
    </row>
    <row r="64" spans="1:10" x14ac:dyDescent="0.2">
      <c r="A64" s="799" t="s">
        <v>144</v>
      </c>
      <c r="B64" s="855" t="s">
        <v>94</v>
      </c>
      <c r="C64" s="751"/>
      <c r="D64" s="751"/>
      <c r="E64" s="751"/>
      <c r="F64" s="850"/>
      <c r="G64" s="850"/>
      <c r="H64" s="850"/>
      <c r="I64" s="850"/>
      <c r="J64" s="850"/>
    </row>
    <row r="65" spans="1:10" x14ac:dyDescent="0.2">
      <c r="A65" s="799" t="s">
        <v>145</v>
      </c>
      <c r="B65" s="760" t="s">
        <v>17</v>
      </c>
      <c r="C65" s="751"/>
      <c r="D65" s="751"/>
      <c r="E65" s="751"/>
      <c r="F65" s="850"/>
      <c r="G65" s="850"/>
      <c r="H65" s="850"/>
      <c r="I65" s="850"/>
      <c r="J65" s="850"/>
    </row>
    <row r="66" spans="1:10" x14ac:dyDescent="0.2">
      <c r="A66" s="799" t="s">
        <v>146</v>
      </c>
      <c r="B66" s="745" t="s">
        <v>93</v>
      </c>
      <c r="C66" s="751">
        <v>10396</v>
      </c>
      <c r="D66" s="751"/>
      <c r="E66" s="751">
        <f>SUM(C66:D66)</f>
        <v>10396</v>
      </c>
      <c r="F66" s="850"/>
      <c r="G66" s="850"/>
      <c r="H66" s="850"/>
      <c r="I66" s="850"/>
      <c r="J66" s="850"/>
    </row>
    <row r="67" spans="1:10" x14ac:dyDescent="0.2">
      <c r="A67" s="799" t="s">
        <v>147</v>
      </c>
      <c r="B67" s="745" t="s">
        <v>300</v>
      </c>
      <c r="C67" s="751">
        <v>10040</v>
      </c>
      <c r="D67" s="751"/>
      <c r="E67" s="751">
        <f>SUM(C67:D67)</f>
        <v>10040</v>
      </c>
      <c r="F67" s="850"/>
      <c r="G67" s="850"/>
      <c r="H67" s="850"/>
      <c r="I67" s="850"/>
      <c r="J67" s="850"/>
    </row>
    <row r="68" spans="1:10" x14ac:dyDescent="0.2">
      <c r="A68" s="799" t="s">
        <v>149</v>
      </c>
      <c r="B68" s="745" t="s">
        <v>301</v>
      </c>
      <c r="C68" s="751">
        <v>429</v>
      </c>
      <c r="D68" s="751"/>
      <c r="E68" s="751">
        <f>SUM(C68:D68)</f>
        <v>429</v>
      </c>
      <c r="F68" s="850"/>
      <c r="G68" s="850"/>
      <c r="H68" s="850"/>
      <c r="I68" s="850"/>
      <c r="J68" s="850"/>
    </row>
    <row r="69" spans="1:10" x14ac:dyDescent="0.2">
      <c r="A69" s="799" t="s">
        <v>152</v>
      </c>
      <c r="B69" s="745" t="s">
        <v>167</v>
      </c>
      <c r="C69" s="751"/>
      <c r="D69" s="751"/>
      <c r="E69" s="751"/>
      <c r="F69" s="850"/>
      <c r="G69" s="850"/>
      <c r="H69" s="850"/>
      <c r="I69" s="850"/>
      <c r="J69" s="850"/>
    </row>
    <row r="70" spans="1:10" x14ac:dyDescent="0.2">
      <c r="A70" s="799" t="s">
        <v>154</v>
      </c>
      <c r="B70" s="745" t="s">
        <v>166</v>
      </c>
      <c r="C70" s="751"/>
      <c r="D70" s="751">
        <v>179</v>
      </c>
      <c r="E70" s="751">
        <f>SUM(C70:D70)</f>
        <v>179</v>
      </c>
      <c r="F70" s="850"/>
      <c r="G70" s="850"/>
      <c r="H70" s="850"/>
      <c r="I70" s="850"/>
      <c r="J70" s="850"/>
    </row>
    <row r="71" spans="1:10" ht="12" thickBot="1" x14ac:dyDescent="0.25">
      <c r="A71" s="808" t="s">
        <v>155</v>
      </c>
      <c r="B71" s="767" t="s">
        <v>19</v>
      </c>
      <c r="C71" s="769">
        <f>SUM(C66:C70)</f>
        <v>20865</v>
      </c>
      <c r="D71" s="769">
        <f>SUM(D66:D70)</f>
        <v>179</v>
      </c>
      <c r="E71" s="769">
        <f>SUM(E66:E70)</f>
        <v>21044</v>
      </c>
      <c r="F71" s="873"/>
      <c r="G71" s="873"/>
      <c r="H71" s="873"/>
      <c r="I71" s="873"/>
      <c r="J71" s="873"/>
    </row>
    <row r="72" spans="1:10" ht="12" thickBot="1" x14ac:dyDescent="0.25">
      <c r="A72" s="684" t="s">
        <v>156</v>
      </c>
      <c r="B72" s="878" t="s">
        <v>95</v>
      </c>
      <c r="C72" s="682">
        <f>C71</f>
        <v>20865</v>
      </c>
      <c r="D72" s="682">
        <f>D71</f>
        <v>179</v>
      </c>
      <c r="E72" s="682">
        <f>E71</f>
        <v>21044</v>
      </c>
      <c r="F72" s="876"/>
      <c r="G72" s="876"/>
      <c r="H72" s="876"/>
      <c r="I72" s="876"/>
      <c r="J72" s="877"/>
    </row>
    <row r="73" spans="1:10" s="8" customFormat="1" x14ac:dyDescent="0.2">
      <c r="A73" s="857" t="s">
        <v>1100</v>
      </c>
      <c r="B73" s="874"/>
      <c r="C73" s="866"/>
      <c r="D73" s="866"/>
      <c r="E73" s="866"/>
      <c r="F73" s="860"/>
      <c r="G73" s="860"/>
      <c r="H73" s="860"/>
      <c r="I73" s="860"/>
      <c r="J73" s="860"/>
    </row>
    <row r="74" spans="1:10" s="8" customFormat="1" x14ac:dyDescent="0.2">
      <c r="A74" s="799" t="s">
        <v>1101</v>
      </c>
      <c r="B74" s="760" t="s">
        <v>18</v>
      </c>
      <c r="C74" s="758">
        <f>C37+C54+C71+C48+C59</f>
        <v>30732</v>
      </c>
      <c r="D74" s="758">
        <f>D37+D54+D71+D48+D59</f>
        <v>26537</v>
      </c>
      <c r="E74" s="758">
        <f>E37+E54+E71+E48+E59</f>
        <v>57269</v>
      </c>
      <c r="F74" s="846"/>
      <c r="G74" s="846"/>
      <c r="H74" s="846"/>
      <c r="I74" s="846"/>
      <c r="J74" s="846"/>
    </row>
    <row r="75" spans="1:10" x14ac:dyDescent="0.2">
      <c r="A75" s="799" t="s">
        <v>1304</v>
      </c>
      <c r="B75" s="760" t="s">
        <v>96</v>
      </c>
      <c r="C75" s="742">
        <f>C42+C61</f>
        <v>0</v>
      </c>
      <c r="D75" s="742">
        <f>D42+D61</f>
        <v>0</v>
      </c>
      <c r="E75" s="742">
        <f>E42+E61</f>
        <v>0</v>
      </c>
      <c r="F75" s="850"/>
      <c r="G75" s="850"/>
      <c r="H75" s="850"/>
      <c r="I75" s="850"/>
      <c r="J75" s="850"/>
    </row>
    <row r="76" spans="1:10" ht="12" thickBot="1" x14ac:dyDescent="0.25">
      <c r="A76" s="808" t="s">
        <v>1305</v>
      </c>
      <c r="B76" s="767"/>
      <c r="C76" s="879"/>
      <c r="D76" s="879"/>
      <c r="E76" s="879"/>
      <c r="F76" s="873"/>
      <c r="G76" s="873"/>
      <c r="H76" s="873"/>
      <c r="I76" s="873"/>
      <c r="J76" s="873"/>
    </row>
    <row r="77" spans="1:10" s="9" customFormat="1" ht="12" thickBot="1" x14ac:dyDescent="0.25">
      <c r="A77" s="684" t="s">
        <v>1306</v>
      </c>
      <c r="B77" s="683" t="s">
        <v>97</v>
      </c>
      <c r="C77" s="675">
        <f>C44+C72+C55+C49+C62</f>
        <v>812948</v>
      </c>
      <c r="D77" s="675">
        <f>D44+D72+D55+D49+D62</f>
        <v>133037</v>
      </c>
      <c r="E77" s="675">
        <f>E44+E72+E55+E49+E62</f>
        <v>945985</v>
      </c>
      <c r="F77" s="880"/>
      <c r="G77" s="880"/>
      <c r="H77" s="880"/>
      <c r="I77" s="880"/>
      <c r="J77" s="774"/>
    </row>
    <row r="78" spans="1:10" s="9" customFormat="1" x14ac:dyDescent="0.2">
      <c r="A78" s="552"/>
      <c r="B78" s="113"/>
      <c r="C78" s="114"/>
      <c r="D78" s="389"/>
      <c r="E78" s="389"/>
      <c r="I78" s="199"/>
    </row>
    <row r="79" spans="1:10" x14ac:dyDescent="0.2">
      <c r="B79" s="113"/>
    </row>
    <row r="80" spans="1:10" x14ac:dyDescent="0.2">
      <c r="B80" s="113"/>
      <c r="G80" s="573"/>
    </row>
    <row r="81" spans="2:7" x14ac:dyDescent="0.2">
      <c r="B81" s="125"/>
      <c r="G81" s="573"/>
    </row>
    <row r="82" spans="2:7" x14ac:dyDescent="0.2">
      <c r="B82" s="125"/>
    </row>
    <row r="84" spans="2:7" x14ac:dyDescent="0.2">
      <c r="B84" s="125"/>
    </row>
    <row r="85" spans="2:7" x14ac:dyDescent="0.2">
      <c r="B85" s="125"/>
    </row>
    <row r="86" spans="2:7" x14ac:dyDescent="0.2">
      <c r="B86" s="125"/>
    </row>
    <row r="87" spans="2:7" x14ac:dyDescent="0.2">
      <c r="B87" s="125"/>
    </row>
    <row r="88" spans="2:7" x14ac:dyDescent="0.2">
      <c r="B88" s="125"/>
    </row>
    <row r="89" spans="2:7" x14ac:dyDescent="0.2">
      <c r="B89" s="113"/>
    </row>
    <row r="90" spans="2:7" x14ac:dyDescent="0.2">
      <c r="B90" s="125"/>
    </row>
    <row r="91" spans="2:7" x14ac:dyDescent="0.2">
      <c r="B91" s="125"/>
    </row>
    <row r="92" spans="2:7" x14ac:dyDescent="0.2">
      <c r="B92" s="125"/>
    </row>
    <row r="93" spans="2:7" x14ac:dyDescent="0.2">
      <c r="B93" s="125"/>
    </row>
  </sheetData>
  <sheetProtection selectLockedCells="1" selectUnlockedCells="1"/>
  <mergeCells count="10">
    <mergeCell ref="F7:G7"/>
    <mergeCell ref="H7:J7"/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8" scale="97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29" customWidth="1"/>
    <col min="2" max="2" width="9.85546875" style="129" hidden="1" customWidth="1"/>
    <col min="3" max="3" width="11.7109375" style="129" hidden="1" customWidth="1"/>
    <col min="4" max="4" width="9.85546875" style="129" hidden="1" customWidth="1"/>
    <col min="5" max="5" width="15.85546875" style="133" hidden="1" customWidth="1"/>
    <col min="6" max="6" width="16" style="5" customWidth="1"/>
    <col min="7" max="7" width="12.85546875" style="5" customWidth="1"/>
    <col min="8" max="8" width="10" style="5" bestFit="1" customWidth="1"/>
    <col min="9" max="9" width="11.42578125" style="5" bestFit="1" customWidth="1"/>
    <col min="10" max="10" width="10" style="5" bestFit="1" customWidth="1"/>
    <col min="11" max="12" width="11.42578125" style="5" bestFit="1" customWidth="1"/>
    <col min="13" max="14" width="8" style="5" customWidth="1"/>
    <col min="15" max="15" width="10.85546875" style="5" bestFit="1" customWidth="1"/>
    <col min="16" max="16" width="10.42578125" style="5" bestFit="1" customWidth="1"/>
    <col min="17" max="17" width="9.85546875" style="5" bestFit="1" customWidth="1"/>
    <col min="18" max="255" width="8" style="5" customWidth="1"/>
    <col min="256" max="16384" width="61.7109375" style="5"/>
  </cols>
  <sheetData>
    <row r="1" spans="1:256" ht="12.75" x14ac:dyDescent="0.2">
      <c r="A1" s="1452" t="s">
        <v>294</v>
      </c>
      <c r="B1" s="1452"/>
      <c r="C1" s="1452"/>
      <c r="D1" s="1452"/>
      <c r="E1" s="1452"/>
      <c r="F1" s="1452"/>
      <c r="G1" s="1452"/>
      <c r="H1" s="1452"/>
      <c r="I1" s="1452"/>
    </row>
    <row r="2" spans="1:256" x14ac:dyDescent="0.2">
      <c r="F2" s="1478"/>
      <c r="G2" s="1478"/>
      <c r="H2" s="1478"/>
      <c r="I2" s="1478"/>
    </row>
    <row r="4" spans="1:256" ht="30" customHeight="1" x14ac:dyDescent="0.2">
      <c r="A4" s="1453" t="s">
        <v>77</v>
      </c>
      <c r="B4" s="1453"/>
      <c r="C4" s="1453"/>
      <c r="D4" s="1453"/>
      <c r="E4" s="1453"/>
      <c r="F4" s="1454"/>
      <c r="G4" s="1454"/>
      <c r="H4" s="1454"/>
      <c r="I4" s="1454"/>
    </row>
    <row r="5" spans="1:256" ht="33" customHeight="1" x14ac:dyDescent="0.2">
      <c r="A5" s="1453" t="s">
        <v>1051</v>
      </c>
      <c r="B5" s="1453"/>
      <c r="C5" s="1453"/>
      <c r="D5" s="1453"/>
      <c r="E5" s="1453"/>
      <c r="F5" s="1454"/>
      <c r="G5" s="1454"/>
      <c r="H5" s="1454"/>
      <c r="I5" s="1454"/>
    </row>
    <row r="7" spans="1:256" ht="13.5" thickBot="1" x14ac:dyDescent="0.25">
      <c r="E7" s="374" t="s">
        <v>20</v>
      </c>
      <c r="F7" s="592"/>
    </row>
    <row r="8" spans="1:256" ht="30.75" customHeight="1" thickBot="1" x14ac:dyDescent="0.25">
      <c r="A8" s="1455" t="s">
        <v>78</v>
      </c>
      <c r="B8" s="1457" t="s">
        <v>107</v>
      </c>
      <c r="C8" s="1458"/>
      <c r="D8" s="1458"/>
      <c r="E8" s="1458"/>
      <c r="F8" s="1479" t="s">
        <v>1020</v>
      </c>
      <c r="G8" s="1480"/>
      <c r="H8" s="1480"/>
      <c r="I8" s="1481"/>
    </row>
    <row r="9" spans="1:256" ht="36.75" thickBot="1" x14ac:dyDescent="0.25">
      <c r="A9" s="1456"/>
      <c r="B9" s="194" t="s">
        <v>79</v>
      </c>
      <c r="C9" s="130" t="s">
        <v>80</v>
      </c>
      <c r="D9" s="130" t="s">
        <v>682</v>
      </c>
      <c r="E9" s="195" t="s">
        <v>81</v>
      </c>
      <c r="F9" s="194" t="s">
        <v>79</v>
      </c>
      <c r="G9" s="130" t="s">
        <v>80</v>
      </c>
      <c r="H9" s="130" t="s">
        <v>682</v>
      </c>
      <c r="I9" s="195" t="s">
        <v>81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</row>
    <row r="10" spans="1:256" ht="12.75" x14ac:dyDescent="0.2">
      <c r="A10" s="386" t="s">
        <v>82</v>
      </c>
      <c r="B10" s="387"/>
      <c r="C10" s="387"/>
      <c r="D10" s="387"/>
      <c r="E10" s="387"/>
      <c r="F10" s="388"/>
      <c r="G10" s="388"/>
      <c r="H10" s="388"/>
      <c r="I10" s="388"/>
      <c r="J10" s="409"/>
    </row>
    <row r="11" spans="1:256" ht="12.75" x14ac:dyDescent="0.2">
      <c r="A11" s="381" t="s">
        <v>820</v>
      </c>
      <c r="B11" s="471"/>
      <c r="C11" s="471"/>
      <c r="D11" s="471"/>
      <c r="E11" s="471"/>
      <c r="F11" s="528"/>
      <c r="G11" s="528"/>
      <c r="H11" s="528"/>
      <c r="I11" s="528"/>
      <c r="J11" s="409"/>
    </row>
    <row r="12" spans="1:256" ht="36" x14ac:dyDescent="0.2">
      <c r="A12" s="468" t="s">
        <v>821</v>
      </c>
      <c r="B12" s="471">
        <v>4865</v>
      </c>
      <c r="C12" s="529">
        <v>18.690000000000001</v>
      </c>
      <c r="D12" s="471">
        <v>4580000</v>
      </c>
      <c r="E12" s="471">
        <f>C12*D12</f>
        <v>85600200</v>
      </c>
      <c r="F12" s="568" t="s">
        <v>1021</v>
      </c>
      <c r="G12" s="376">
        <v>18.32</v>
      </c>
      <c r="H12" s="376">
        <v>4580000</v>
      </c>
      <c r="I12" s="377">
        <f>G12*H12</f>
        <v>83905600</v>
      </c>
      <c r="J12" s="409"/>
    </row>
    <row r="13" spans="1:256" ht="12.75" x14ac:dyDescent="0.2">
      <c r="A13" s="381" t="s">
        <v>822</v>
      </c>
      <c r="B13" s="471"/>
      <c r="C13" s="471"/>
      <c r="D13" s="471"/>
      <c r="E13" s="471"/>
      <c r="F13" s="428"/>
      <c r="G13" s="476"/>
      <c r="H13" s="476"/>
      <c r="I13" s="428"/>
      <c r="J13" s="409"/>
    </row>
    <row r="14" spans="1:256" ht="12.75" x14ac:dyDescent="0.2">
      <c r="A14" s="468" t="s">
        <v>823</v>
      </c>
      <c r="B14" s="471"/>
      <c r="C14" s="480"/>
      <c r="D14" s="471" t="s">
        <v>295</v>
      </c>
      <c r="E14" s="471">
        <v>8328800</v>
      </c>
      <c r="F14" s="428"/>
      <c r="G14" s="476"/>
      <c r="H14" s="376" t="s">
        <v>295</v>
      </c>
      <c r="I14" s="377">
        <v>8329050</v>
      </c>
      <c r="J14" s="409"/>
    </row>
    <row r="15" spans="1:256" ht="12.75" x14ac:dyDescent="0.2">
      <c r="A15" s="468" t="s">
        <v>824</v>
      </c>
      <c r="B15" s="378"/>
      <c r="C15" s="379"/>
      <c r="D15" s="378"/>
      <c r="E15" s="378"/>
      <c r="F15" s="377"/>
      <c r="G15" s="376"/>
      <c r="H15" s="376"/>
      <c r="I15" s="377">
        <v>-8329050</v>
      </c>
      <c r="J15" s="409"/>
    </row>
    <row r="16" spans="1:256" ht="24" x14ac:dyDescent="0.2">
      <c r="A16" s="468" t="s">
        <v>825</v>
      </c>
      <c r="B16" s="378"/>
      <c r="C16" s="379"/>
      <c r="D16" s="378"/>
      <c r="E16" s="378"/>
      <c r="F16" s="377"/>
      <c r="G16" s="376"/>
      <c r="H16" s="376"/>
      <c r="I16" s="377">
        <f>I14+I15</f>
        <v>0</v>
      </c>
      <c r="J16" s="409"/>
    </row>
    <row r="17" spans="1:10" ht="12.75" x14ac:dyDescent="0.2">
      <c r="A17" s="381" t="s">
        <v>826</v>
      </c>
      <c r="B17" s="471"/>
      <c r="C17" s="471"/>
      <c r="D17" s="532" t="s">
        <v>296</v>
      </c>
      <c r="E17" s="471">
        <v>18272000</v>
      </c>
      <c r="F17" s="428"/>
      <c r="G17" s="476"/>
      <c r="H17" s="376" t="s">
        <v>297</v>
      </c>
      <c r="I17" s="377">
        <v>18304000</v>
      </c>
      <c r="J17" s="409"/>
    </row>
    <row r="18" spans="1:10" ht="12.75" x14ac:dyDescent="0.2">
      <c r="A18" s="381" t="s">
        <v>824</v>
      </c>
      <c r="B18" s="378"/>
      <c r="C18" s="378"/>
      <c r="D18" s="470"/>
      <c r="E18" s="378"/>
      <c r="F18" s="377"/>
      <c r="G18" s="376"/>
      <c r="H18" s="376"/>
      <c r="I18" s="377">
        <v>-18304000</v>
      </c>
      <c r="J18" s="409"/>
    </row>
    <row r="19" spans="1:10" ht="12.75" x14ac:dyDescent="0.2">
      <c r="A19" s="381" t="s">
        <v>827</v>
      </c>
      <c r="B19" s="378"/>
      <c r="C19" s="378"/>
      <c r="D19" s="470"/>
      <c r="E19" s="378"/>
      <c r="F19" s="377"/>
      <c r="G19" s="376"/>
      <c r="H19" s="376"/>
      <c r="I19" s="377">
        <f>I17+I18</f>
        <v>0</v>
      </c>
      <c r="J19" s="409"/>
    </row>
    <row r="20" spans="1:10" ht="12.75" x14ac:dyDescent="0.2">
      <c r="A20" s="381" t="s">
        <v>828</v>
      </c>
      <c r="B20" s="471"/>
      <c r="C20" s="471" t="s">
        <v>829</v>
      </c>
      <c r="D20" s="472" t="s">
        <v>683</v>
      </c>
      <c r="E20" s="471">
        <v>1355022</v>
      </c>
      <c r="F20" s="428"/>
      <c r="G20" s="471"/>
      <c r="H20" s="473" t="s">
        <v>683</v>
      </c>
      <c r="I20" s="377">
        <v>1355022</v>
      </c>
      <c r="J20" s="409"/>
    </row>
    <row r="21" spans="1:10" ht="12.75" x14ac:dyDescent="0.2">
      <c r="A21" s="381" t="s">
        <v>830</v>
      </c>
      <c r="B21" s="378"/>
      <c r="C21" s="378"/>
      <c r="D21" s="473"/>
      <c r="E21" s="378"/>
      <c r="F21" s="377"/>
      <c r="G21" s="378"/>
      <c r="H21" s="473"/>
      <c r="I21" s="377">
        <v>-1355022</v>
      </c>
      <c r="J21" s="409"/>
    </row>
    <row r="22" spans="1:10" ht="12.75" x14ac:dyDescent="0.2">
      <c r="A22" s="381" t="s">
        <v>831</v>
      </c>
      <c r="B22" s="378"/>
      <c r="C22" s="378"/>
      <c r="D22" s="473"/>
      <c r="E22" s="378"/>
      <c r="F22" s="377"/>
      <c r="G22" s="378"/>
      <c r="H22" s="473"/>
      <c r="I22" s="377">
        <f>I20+I21</f>
        <v>0</v>
      </c>
      <c r="J22" s="409"/>
    </row>
    <row r="23" spans="1:10" ht="12.75" x14ac:dyDescent="0.2">
      <c r="A23" s="381" t="s">
        <v>832</v>
      </c>
      <c r="B23" s="471"/>
      <c r="C23" s="480"/>
      <c r="D23" s="532" t="s">
        <v>684</v>
      </c>
      <c r="E23" s="471">
        <v>6369620</v>
      </c>
      <c r="F23" s="428"/>
      <c r="G23" s="476"/>
      <c r="H23" s="470" t="s">
        <v>684</v>
      </c>
      <c r="I23" s="377">
        <v>6369620</v>
      </c>
      <c r="J23" s="409"/>
    </row>
    <row r="24" spans="1:10" ht="12.75" x14ac:dyDescent="0.2">
      <c r="A24" s="381" t="s">
        <v>830</v>
      </c>
      <c r="B24" s="378"/>
      <c r="C24" s="379"/>
      <c r="D24" s="470"/>
      <c r="E24" s="378"/>
      <c r="F24" s="377"/>
      <c r="G24" s="376"/>
      <c r="H24" s="470"/>
      <c r="I24" s="377">
        <v>-6369620</v>
      </c>
      <c r="J24" s="409"/>
    </row>
    <row r="25" spans="1:10" ht="12.75" x14ac:dyDescent="0.2">
      <c r="A25" s="381" t="s">
        <v>833</v>
      </c>
      <c r="B25" s="378"/>
      <c r="C25" s="379"/>
      <c r="D25" s="470"/>
      <c r="E25" s="378"/>
      <c r="F25" s="377"/>
      <c r="G25" s="376"/>
      <c r="H25" s="470"/>
      <c r="I25" s="377">
        <f>I23+I24</f>
        <v>0</v>
      </c>
      <c r="J25" s="409"/>
    </row>
    <row r="26" spans="1:10" ht="12.75" x14ac:dyDescent="0.2">
      <c r="A26" s="381" t="s">
        <v>834</v>
      </c>
      <c r="B26" s="471">
        <v>4865</v>
      </c>
      <c r="C26" s="471"/>
      <c r="D26" s="471">
        <v>2700</v>
      </c>
      <c r="E26" s="471">
        <f>B26*D26</f>
        <v>13135500</v>
      </c>
      <c r="F26" s="377">
        <v>4705</v>
      </c>
      <c r="G26" s="476"/>
      <c r="H26" s="378">
        <v>2700</v>
      </c>
      <c r="I26" s="377">
        <f>F26*H26</f>
        <v>12703500</v>
      </c>
      <c r="J26" s="409"/>
    </row>
    <row r="27" spans="1:10" ht="12.75" x14ac:dyDescent="0.2">
      <c r="A27" s="381" t="s">
        <v>835</v>
      </c>
      <c r="B27" s="378"/>
      <c r="C27" s="378"/>
      <c r="D27" s="378"/>
      <c r="E27" s="378">
        <v>-13135500</v>
      </c>
      <c r="F27" s="377"/>
      <c r="G27" s="376"/>
      <c r="H27" s="376"/>
      <c r="I27" s="377">
        <v>-12703500</v>
      </c>
      <c r="J27" s="409"/>
    </row>
    <row r="28" spans="1:10" ht="12.75" x14ac:dyDescent="0.2">
      <c r="A28" s="381" t="s">
        <v>836</v>
      </c>
      <c r="B28" s="378"/>
      <c r="C28" s="378"/>
      <c r="D28" s="378"/>
      <c r="E28" s="378">
        <f>E26+E27</f>
        <v>0</v>
      </c>
      <c r="F28" s="377"/>
      <c r="G28" s="376"/>
      <c r="H28" s="376"/>
      <c r="I28" s="377">
        <f>I26+I27</f>
        <v>0</v>
      </c>
      <c r="J28" s="409"/>
    </row>
    <row r="29" spans="1:10" ht="12.75" x14ac:dyDescent="0.2">
      <c r="A29" s="381" t="s">
        <v>837</v>
      </c>
      <c r="B29" s="471">
        <v>10</v>
      </c>
      <c r="C29" s="471"/>
      <c r="D29" s="471" t="s">
        <v>298</v>
      </c>
      <c r="E29" s="474">
        <v>25500</v>
      </c>
      <c r="F29" s="593">
        <v>21</v>
      </c>
      <c r="G29" s="476"/>
      <c r="H29" s="378" t="s">
        <v>298</v>
      </c>
      <c r="I29" s="593">
        <v>53550</v>
      </c>
      <c r="J29" s="409"/>
    </row>
    <row r="30" spans="1:10" ht="12.75" x14ac:dyDescent="0.2">
      <c r="A30" s="381" t="s">
        <v>838</v>
      </c>
      <c r="B30" s="378"/>
      <c r="C30" s="378"/>
      <c r="D30" s="378"/>
      <c r="E30" s="378">
        <v>-25500</v>
      </c>
      <c r="F30" s="377"/>
      <c r="G30" s="376"/>
      <c r="H30" s="376"/>
      <c r="I30" s="593">
        <v>-53550</v>
      </c>
      <c r="J30" s="409"/>
    </row>
    <row r="31" spans="1:10" ht="12.75" x14ac:dyDescent="0.2">
      <c r="A31" s="381" t="s">
        <v>839</v>
      </c>
      <c r="B31" s="471"/>
      <c r="C31" s="471"/>
      <c r="D31" s="471"/>
      <c r="E31" s="474">
        <v>0</v>
      </c>
      <c r="F31" s="428"/>
      <c r="G31" s="476"/>
      <c r="H31" s="476"/>
      <c r="I31" s="593">
        <f>I29+I30</f>
        <v>0</v>
      </c>
      <c r="J31" s="409"/>
    </row>
    <row r="32" spans="1:10" ht="12.75" x14ac:dyDescent="0.2">
      <c r="A32" s="531" t="s">
        <v>942</v>
      </c>
      <c r="B32" s="471"/>
      <c r="C32" s="471">
        <v>487729000</v>
      </c>
      <c r="D32" s="480">
        <v>1.55</v>
      </c>
      <c r="E32" s="471">
        <f>C32*D32</f>
        <v>755979950</v>
      </c>
      <c r="F32" s="428"/>
      <c r="G32" s="377">
        <v>540752027</v>
      </c>
      <c r="H32" s="379">
        <v>1</v>
      </c>
      <c r="I32" s="377">
        <f>G32*H32</f>
        <v>540752027</v>
      </c>
      <c r="J32" s="409"/>
    </row>
    <row r="33" spans="1:18" ht="12.75" x14ac:dyDescent="0.2">
      <c r="A33" s="381" t="s">
        <v>835</v>
      </c>
      <c r="B33" s="378"/>
      <c r="C33" s="378"/>
      <c r="D33" s="382"/>
      <c r="E33" s="378">
        <v>-98054262</v>
      </c>
      <c r="F33" s="377"/>
      <c r="G33" s="376"/>
      <c r="H33" s="376"/>
      <c r="I33" s="593">
        <v>-76318159</v>
      </c>
      <c r="J33" s="409"/>
    </row>
    <row r="34" spans="1:18" ht="12.75" x14ac:dyDescent="0.2">
      <c r="A34" s="381" t="s">
        <v>841</v>
      </c>
      <c r="B34" s="471"/>
      <c r="C34" s="471"/>
      <c r="D34" s="485"/>
      <c r="E34" s="471">
        <f>E32+E33</f>
        <v>657925688</v>
      </c>
      <c r="F34" s="428"/>
      <c r="G34" s="476"/>
      <c r="H34" s="476"/>
      <c r="I34" s="593">
        <f>I32+I33</f>
        <v>464433868</v>
      </c>
      <c r="J34" s="409"/>
    </row>
    <row r="35" spans="1:18" ht="12.75" x14ac:dyDescent="0.2">
      <c r="A35" s="475" t="s">
        <v>1022</v>
      </c>
      <c r="B35" s="471"/>
      <c r="C35" s="471"/>
      <c r="D35" s="471"/>
      <c r="E35" s="471">
        <v>0</v>
      </c>
      <c r="F35" s="428"/>
      <c r="G35" s="476"/>
      <c r="H35" s="476"/>
      <c r="I35" s="377">
        <v>0</v>
      </c>
      <c r="J35" s="409"/>
      <c r="K35" s="594">
        <f>I12+I16+I19+I25+I28+I31+I34+I35</f>
        <v>548339468</v>
      </c>
      <c r="L35" s="5" t="s">
        <v>913</v>
      </c>
    </row>
    <row r="36" spans="1:18" ht="24" x14ac:dyDescent="0.2">
      <c r="A36" s="468" t="s">
        <v>1023</v>
      </c>
      <c r="B36" s="471"/>
      <c r="C36" s="471"/>
      <c r="D36" s="471"/>
      <c r="E36" s="471"/>
      <c r="F36" s="428"/>
      <c r="G36" s="476"/>
      <c r="H36" s="476"/>
      <c r="I36" s="377">
        <v>0</v>
      </c>
      <c r="J36" s="409"/>
      <c r="K36" s="477"/>
    </row>
    <row r="37" spans="1:18" ht="12.75" x14ac:dyDescent="0.2">
      <c r="A37" s="475"/>
      <c r="B37" s="471"/>
      <c r="C37" s="471"/>
      <c r="D37" s="471"/>
      <c r="E37" s="471"/>
      <c r="F37" s="428"/>
      <c r="G37" s="476"/>
      <c r="H37" s="476"/>
      <c r="I37" s="428"/>
      <c r="J37" s="409"/>
      <c r="K37" s="477"/>
    </row>
    <row r="38" spans="1:18" ht="12.75" x14ac:dyDescent="0.2">
      <c r="A38" s="478" t="s">
        <v>83</v>
      </c>
      <c r="B38" s="471"/>
      <c r="C38" s="471"/>
      <c r="D38" s="471"/>
      <c r="E38" s="471"/>
      <c r="F38" s="428"/>
      <c r="G38" s="476"/>
      <c r="H38" s="476"/>
      <c r="I38" s="428"/>
      <c r="J38" s="409"/>
    </row>
    <row r="39" spans="1:18" ht="24" x14ac:dyDescent="0.2">
      <c r="A39" s="468" t="s">
        <v>843</v>
      </c>
      <c r="B39" s="471"/>
      <c r="C39" s="471"/>
      <c r="D39" s="471"/>
      <c r="E39" s="471"/>
      <c r="F39" s="428"/>
      <c r="G39" s="476"/>
      <c r="H39" s="476"/>
      <c r="I39" s="428"/>
      <c r="J39" s="409"/>
    </row>
    <row r="40" spans="1:18" ht="12.75" x14ac:dyDescent="0.2">
      <c r="A40" s="468" t="s">
        <v>844</v>
      </c>
      <c r="B40" s="471"/>
      <c r="C40" s="480">
        <v>13.1</v>
      </c>
      <c r="D40" s="471">
        <v>4152000</v>
      </c>
      <c r="E40" s="471">
        <f>C40*D40*8/12</f>
        <v>36260800</v>
      </c>
      <c r="F40" s="595" t="s">
        <v>1052</v>
      </c>
      <c r="G40" s="596">
        <v>12.5</v>
      </c>
      <c r="H40" s="588">
        <v>4419000</v>
      </c>
      <c r="I40" s="593">
        <f>G40*8/12*4419000</f>
        <v>36825000</v>
      </c>
      <c r="J40" s="409"/>
    </row>
    <row r="41" spans="1:18" ht="12.75" x14ac:dyDescent="0.2">
      <c r="A41" s="468" t="s">
        <v>845</v>
      </c>
      <c r="B41" s="471"/>
      <c r="C41" s="480">
        <v>13.1</v>
      </c>
      <c r="D41" s="481">
        <v>4152000</v>
      </c>
      <c r="E41" s="471">
        <f>C41*D41*4/12</f>
        <v>18130400</v>
      </c>
      <c r="F41" s="595" t="s">
        <v>1052</v>
      </c>
      <c r="G41" s="597">
        <v>12.5</v>
      </c>
      <c r="H41" s="588">
        <v>4419000</v>
      </c>
      <c r="I41" s="593">
        <f>G41*4/12*H41</f>
        <v>18412500</v>
      </c>
      <c r="J41" s="409"/>
    </row>
    <row r="42" spans="1:18" ht="24" x14ac:dyDescent="0.2">
      <c r="A42" s="468" t="s">
        <v>846</v>
      </c>
      <c r="B42" s="471"/>
      <c r="C42" s="471">
        <v>10</v>
      </c>
      <c r="D42" s="471">
        <v>1800000</v>
      </c>
      <c r="E42" s="474">
        <f>C42*D42*8/12</f>
        <v>12000000</v>
      </c>
      <c r="F42" s="530"/>
      <c r="G42" s="479">
        <v>9</v>
      </c>
      <c r="H42" s="588">
        <v>2205000</v>
      </c>
      <c r="I42" s="377">
        <f>G42*H42*8/12</f>
        <v>13230000</v>
      </c>
      <c r="J42" s="409"/>
    </row>
    <row r="43" spans="1:18" ht="24" x14ac:dyDescent="0.2">
      <c r="A43" s="468" t="s">
        <v>943</v>
      </c>
      <c r="B43" s="471"/>
      <c r="C43" s="471"/>
      <c r="D43" s="471"/>
      <c r="E43" s="474"/>
      <c r="F43" s="428"/>
      <c r="G43" s="479">
        <v>0</v>
      </c>
      <c r="H43" s="588">
        <v>4419000</v>
      </c>
      <c r="I43" s="377">
        <f>G43*H43*8/12</f>
        <v>0</v>
      </c>
      <c r="J43" s="409"/>
    </row>
    <row r="44" spans="1:18" ht="24" x14ac:dyDescent="0.2">
      <c r="A44" s="468" t="s">
        <v>848</v>
      </c>
      <c r="B44" s="471"/>
      <c r="C44" s="471">
        <v>10</v>
      </c>
      <c r="D44" s="471">
        <v>1800000</v>
      </c>
      <c r="E44" s="471">
        <f>C44*D44*4/12</f>
        <v>6000000</v>
      </c>
      <c r="F44" s="428"/>
      <c r="G44" s="479">
        <v>9</v>
      </c>
      <c r="H44" s="588">
        <v>2205000</v>
      </c>
      <c r="I44" s="377">
        <f>G44*H44*4/12</f>
        <v>6615000</v>
      </c>
      <c r="J44" s="410"/>
    </row>
    <row r="45" spans="1:18" ht="39" x14ac:dyDescent="0.2">
      <c r="A45" s="468" t="s">
        <v>944</v>
      </c>
      <c r="B45" s="471"/>
      <c r="C45" s="471"/>
      <c r="D45" s="471"/>
      <c r="E45" s="471"/>
      <c r="F45" s="428"/>
      <c r="G45" s="479">
        <v>0</v>
      </c>
      <c r="H45" s="588">
        <v>4419000</v>
      </c>
      <c r="I45" s="377">
        <f>G45*H45*4/12</f>
        <v>0</v>
      </c>
      <c r="J45" s="410"/>
      <c r="K45" s="577" t="s">
        <v>914</v>
      </c>
      <c r="L45" s="477">
        <f>I12+I14+I17+I20+I23+I26+I29+I32</f>
        <v>671772369</v>
      </c>
      <c r="N45" s="578" t="s">
        <v>1053</v>
      </c>
      <c r="O45" s="477">
        <v>123432901</v>
      </c>
      <c r="P45" s="477">
        <f>I15+I18+I21+I24+I27+I30</f>
        <v>-47114742</v>
      </c>
      <c r="Q45" s="477">
        <f>O45+P45</f>
        <v>76318159</v>
      </c>
      <c r="R45" s="578" t="s">
        <v>915</v>
      </c>
    </row>
    <row r="46" spans="1:18" ht="12.75" x14ac:dyDescent="0.2">
      <c r="A46" s="381" t="s">
        <v>851</v>
      </c>
      <c r="B46" s="471"/>
      <c r="C46" s="471"/>
      <c r="D46" s="471"/>
      <c r="E46" s="471"/>
      <c r="F46" s="428"/>
      <c r="G46" s="476"/>
      <c r="H46" s="476"/>
      <c r="I46" s="428"/>
      <c r="J46" s="409"/>
    </row>
    <row r="47" spans="1:18" ht="24" x14ac:dyDescent="0.2">
      <c r="A47" s="468" t="s">
        <v>945</v>
      </c>
      <c r="B47" s="471"/>
      <c r="C47" s="471">
        <v>142</v>
      </c>
      <c r="D47" s="471">
        <v>70000</v>
      </c>
      <c r="E47" s="471">
        <f>C47*D47*8/12</f>
        <v>6626666.666666667</v>
      </c>
      <c r="F47" s="568"/>
      <c r="G47" s="593">
        <v>138</v>
      </c>
      <c r="H47" s="378">
        <v>81700</v>
      </c>
      <c r="I47" s="593">
        <f>G47*H47*8/12</f>
        <v>7516400</v>
      </c>
      <c r="J47" s="409"/>
    </row>
    <row r="48" spans="1:18" ht="24" x14ac:dyDescent="0.2">
      <c r="A48" s="468" t="s">
        <v>946</v>
      </c>
      <c r="B48" s="471"/>
      <c r="C48" s="471"/>
      <c r="D48" s="471"/>
      <c r="E48" s="471"/>
      <c r="F48" s="568"/>
      <c r="G48" s="377">
        <v>0</v>
      </c>
      <c r="H48" s="378">
        <v>80000</v>
      </c>
      <c r="I48" s="377">
        <v>0</v>
      </c>
      <c r="J48" s="409"/>
    </row>
    <row r="49" spans="1:12" ht="24" x14ac:dyDescent="0.2">
      <c r="A49" s="468" t="s">
        <v>900</v>
      </c>
      <c r="B49" s="471"/>
      <c r="C49" s="471">
        <v>142</v>
      </c>
      <c r="D49" s="471">
        <v>70000</v>
      </c>
      <c r="E49" s="471">
        <f>C49*D49*4/12</f>
        <v>3313333.3333333335</v>
      </c>
      <c r="F49" s="530"/>
      <c r="G49" s="377">
        <v>138</v>
      </c>
      <c r="H49" s="378">
        <v>81700</v>
      </c>
      <c r="I49" s="593">
        <f>G49*H49*4/12</f>
        <v>3758200</v>
      </c>
      <c r="J49" s="409"/>
    </row>
    <row r="50" spans="1:12" ht="24" x14ac:dyDescent="0.2">
      <c r="A50" s="468" t="s">
        <v>947</v>
      </c>
      <c r="B50" s="471"/>
      <c r="C50" s="471"/>
      <c r="D50" s="471"/>
      <c r="E50" s="471"/>
      <c r="F50" s="530"/>
      <c r="G50" s="377">
        <v>0</v>
      </c>
      <c r="H50" s="378">
        <v>80000</v>
      </c>
      <c r="I50" s="377">
        <v>0</v>
      </c>
      <c r="J50" s="409"/>
    </row>
    <row r="51" spans="1:12" ht="12.75" x14ac:dyDescent="0.2">
      <c r="A51" s="381" t="s">
        <v>901</v>
      </c>
      <c r="B51" s="471"/>
      <c r="C51" s="471"/>
      <c r="D51" s="471"/>
      <c r="E51" s="471"/>
      <c r="F51" s="428"/>
      <c r="G51" s="476"/>
      <c r="H51" s="476"/>
      <c r="I51" s="428"/>
      <c r="J51" s="409"/>
    </row>
    <row r="52" spans="1:12" ht="48" x14ac:dyDescent="0.2">
      <c r="A52" s="468" t="s">
        <v>1024</v>
      </c>
      <c r="B52" s="471"/>
      <c r="C52" s="471">
        <v>5</v>
      </c>
      <c r="D52" s="534" t="s">
        <v>299</v>
      </c>
      <c r="E52" s="471">
        <v>1760000</v>
      </c>
      <c r="F52" s="428"/>
      <c r="G52" s="598">
        <v>4</v>
      </c>
      <c r="H52" s="377">
        <v>401000</v>
      </c>
      <c r="I52" s="593">
        <f>G52*H52</f>
        <v>1604000</v>
      </c>
      <c r="J52" s="409"/>
    </row>
    <row r="53" spans="1:12" ht="48" x14ac:dyDescent="0.2">
      <c r="A53" s="468" t="s">
        <v>1025</v>
      </c>
      <c r="B53" s="471"/>
      <c r="C53" s="471"/>
      <c r="D53" s="471"/>
      <c r="E53" s="471"/>
      <c r="F53" s="428"/>
      <c r="G53" s="376">
        <v>0</v>
      </c>
      <c r="H53" s="377">
        <v>367583</v>
      </c>
      <c r="I53" s="377">
        <f>G53*H53</f>
        <v>0</v>
      </c>
      <c r="J53" s="409"/>
      <c r="K53" s="594">
        <f>SUM(I40:I53)</f>
        <v>87961100</v>
      </c>
      <c r="L53" s="5" t="s">
        <v>916</v>
      </c>
    </row>
    <row r="54" spans="1:12" ht="12.75" x14ac:dyDescent="0.2">
      <c r="A54" s="468"/>
      <c r="B54" s="471"/>
      <c r="C54" s="471"/>
      <c r="D54" s="471"/>
      <c r="E54" s="471"/>
      <c r="F54" s="428"/>
      <c r="G54" s="476"/>
      <c r="H54" s="476"/>
      <c r="I54" s="428"/>
      <c r="J54" s="409"/>
      <c r="K54" s="477"/>
    </row>
    <row r="55" spans="1:12" ht="12.75" x14ac:dyDescent="0.2">
      <c r="A55" s="478" t="s">
        <v>84</v>
      </c>
      <c r="B55" s="471"/>
      <c r="C55" s="471"/>
      <c r="D55" s="471"/>
      <c r="E55" s="471"/>
      <c r="F55" s="428"/>
      <c r="G55" s="476"/>
      <c r="H55" s="476"/>
      <c r="I55" s="428"/>
      <c r="J55" s="409"/>
    </row>
    <row r="56" spans="1:12" ht="12.75" x14ac:dyDescent="0.2">
      <c r="A56" s="475" t="s">
        <v>1026</v>
      </c>
      <c r="B56" s="471"/>
      <c r="C56" s="471"/>
      <c r="D56" s="471"/>
      <c r="E56" s="471">
        <v>0</v>
      </c>
      <c r="F56" s="428"/>
      <c r="G56" s="476"/>
      <c r="H56" s="476"/>
      <c r="I56" s="377">
        <v>0</v>
      </c>
      <c r="J56" s="411"/>
    </row>
    <row r="57" spans="1:12" ht="24" x14ac:dyDescent="0.2">
      <c r="A57" s="468" t="s">
        <v>861</v>
      </c>
      <c r="B57" s="471"/>
      <c r="C57" s="471"/>
      <c r="D57" s="471"/>
      <c r="E57" s="474">
        <v>0</v>
      </c>
      <c r="F57" s="428"/>
      <c r="G57" s="476"/>
      <c r="H57" s="476"/>
      <c r="I57" s="377">
        <v>0</v>
      </c>
      <c r="J57" s="409"/>
    </row>
    <row r="58" spans="1:12" ht="12.75" x14ac:dyDescent="0.2">
      <c r="A58" s="381" t="s">
        <v>862</v>
      </c>
      <c r="B58" s="471"/>
      <c r="C58" s="471"/>
      <c r="D58" s="471"/>
      <c r="E58" s="471"/>
      <c r="F58" s="428"/>
      <c r="G58" s="476"/>
      <c r="H58" s="476"/>
      <c r="I58" s="428"/>
      <c r="J58" s="409"/>
    </row>
    <row r="59" spans="1:12" ht="12.75" x14ac:dyDescent="0.2">
      <c r="A59" s="381" t="s">
        <v>863</v>
      </c>
      <c r="B59" s="471"/>
      <c r="C59" s="471"/>
      <c r="D59" s="471"/>
      <c r="E59" s="471"/>
      <c r="F59" s="428"/>
      <c r="G59" s="476"/>
      <c r="H59" s="476"/>
      <c r="I59" s="428"/>
      <c r="J59" s="409"/>
    </row>
    <row r="60" spans="1:12" ht="12.75" x14ac:dyDescent="0.2">
      <c r="A60" s="381" t="s">
        <v>864</v>
      </c>
      <c r="B60" s="471"/>
      <c r="C60" s="471"/>
      <c r="D60" s="471"/>
      <c r="E60" s="471"/>
      <c r="F60" s="428"/>
      <c r="G60" s="476"/>
      <c r="H60" s="476"/>
      <c r="I60" s="428"/>
      <c r="J60" s="409"/>
    </row>
    <row r="61" spans="1:12" ht="36" x14ac:dyDescent="0.2">
      <c r="A61" s="482" t="s">
        <v>1027</v>
      </c>
      <c r="B61" s="475"/>
      <c r="C61" s="484"/>
      <c r="D61" s="471"/>
      <c r="E61" s="471">
        <f>C61*D61/2</f>
        <v>0</v>
      </c>
      <c r="F61" s="378">
        <v>7822</v>
      </c>
      <c r="G61" s="485"/>
      <c r="H61" s="476"/>
      <c r="I61" s="428"/>
      <c r="J61" s="411"/>
    </row>
    <row r="62" spans="1:12" ht="24" x14ac:dyDescent="0.2">
      <c r="A62" s="468" t="s">
        <v>902</v>
      </c>
      <c r="B62" s="471"/>
      <c r="C62" s="475"/>
      <c r="D62" s="471"/>
      <c r="E62" s="471"/>
      <c r="F62" s="428"/>
      <c r="G62" s="383">
        <v>0</v>
      </c>
      <c r="H62" s="476"/>
      <c r="I62" s="428"/>
      <c r="J62" s="411"/>
    </row>
    <row r="63" spans="1:12" ht="12.75" x14ac:dyDescent="0.2">
      <c r="A63" s="381" t="s">
        <v>903</v>
      </c>
      <c r="B63" s="471"/>
      <c r="C63" s="475"/>
      <c r="D63" s="471"/>
      <c r="E63" s="471"/>
      <c r="F63" s="428"/>
      <c r="G63" s="382">
        <v>1</v>
      </c>
      <c r="H63" s="476"/>
      <c r="I63" s="428"/>
      <c r="J63" s="409"/>
    </row>
    <row r="64" spans="1:12" ht="12.75" x14ac:dyDescent="0.2">
      <c r="A64" s="381" t="s">
        <v>868</v>
      </c>
      <c r="B64" s="471"/>
      <c r="C64" s="486">
        <v>0.97299999999999998</v>
      </c>
      <c r="D64" s="471">
        <v>3000000</v>
      </c>
      <c r="E64" s="471"/>
      <c r="F64" s="428"/>
      <c r="G64" s="382">
        <v>2</v>
      </c>
      <c r="H64" s="378">
        <v>3000000</v>
      </c>
      <c r="I64" s="377">
        <f>(2*1+0)*3000000</f>
        <v>6000000</v>
      </c>
      <c r="J64" s="409"/>
    </row>
    <row r="65" spans="1:12" ht="12.75" x14ac:dyDescent="0.2">
      <c r="A65" s="381" t="s">
        <v>869</v>
      </c>
      <c r="B65" s="487"/>
      <c r="C65" s="471">
        <v>80</v>
      </c>
      <c r="D65" s="471">
        <v>55360</v>
      </c>
      <c r="E65" s="471">
        <f>C65*D65</f>
        <v>4428800</v>
      </c>
      <c r="F65" s="530"/>
      <c r="G65" s="378">
        <v>80</v>
      </c>
      <c r="H65" s="378">
        <v>55360</v>
      </c>
      <c r="I65" s="378">
        <f>G65*H65</f>
        <v>4428800</v>
      </c>
      <c r="J65" s="409"/>
    </row>
    <row r="66" spans="1:12" ht="12.75" x14ac:dyDescent="0.2">
      <c r="A66" s="381" t="s">
        <v>870</v>
      </c>
      <c r="B66" s="487"/>
      <c r="C66" s="471">
        <v>55</v>
      </c>
      <c r="D66" s="471">
        <v>145000</v>
      </c>
      <c r="E66" s="471">
        <f>C66*D66</f>
        <v>7975000</v>
      </c>
      <c r="F66" s="428"/>
      <c r="G66" s="471"/>
      <c r="H66" s="471"/>
      <c r="I66" s="471"/>
      <c r="J66" s="409"/>
    </row>
    <row r="67" spans="1:12" ht="12.75" x14ac:dyDescent="0.2">
      <c r="A67" s="381" t="s">
        <v>904</v>
      </c>
      <c r="B67" s="487"/>
      <c r="C67" s="471"/>
      <c r="D67" s="471"/>
      <c r="E67" s="471"/>
      <c r="F67" s="530"/>
      <c r="G67" s="599">
        <v>5</v>
      </c>
      <c r="H67" s="378">
        <v>25000</v>
      </c>
      <c r="I67" s="599">
        <f>G67*H67</f>
        <v>125000</v>
      </c>
      <c r="J67" s="409"/>
    </row>
    <row r="68" spans="1:12" ht="12.75" x14ac:dyDescent="0.2">
      <c r="A68" s="381" t="s">
        <v>905</v>
      </c>
      <c r="B68" s="487"/>
      <c r="C68" s="471"/>
      <c r="D68" s="471"/>
      <c r="E68" s="471"/>
      <c r="F68" s="530"/>
      <c r="G68" s="599">
        <v>49</v>
      </c>
      <c r="H68" s="378">
        <v>210000</v>
      </c>
      <c r="I68" s="599">
        <f>G68*H68</f>
        <v>10290000</v>
      </c>
      <c r="J68" s="409"/>
    </row>
    <row r="69" spans="1:12" ht="12.75" x14ac:dyDescent="0.2">
      <c r="A69" s="468" t="s">
        <v>906</v>
      </c>
      <c r="B69" s="535"/>
      <c r="C69" s="378">
        <v>23</v>
      </c>
      <c r="D69" s="378">
        <v>109000</v>
      </c>
      <c r="E69" s="378">
        <f>C69*D69</f>
        <v>2507000</v>
      </c>
      <c r="F69" s="377"/>
      <c r="G69" s="599">
        <v>25</v>
      </c>
      <c r="H69" s="378">
        <v>109000</v>
      </c>
      <c r="I69" s="599">
        <f>G69*H69</f>
        <v>2725000</v>
      </c>
      <c r="J69" s="409"/>
    </row>
    <row r="70" spans="1:12" ht="12.75" x14ac:dyDescent="0.2">
      <c r="A70" s="468" t="s">
        <v>872</v>
      </c>
      <c r="B70" s="535"/>
      <c r="C70" s="378"/>
      <c r="D70" s="378"/>
      <c r="E70" s="378"/>
      <c r="F70" s="377"/>
      <c r="G70" s="376"/>
      <c r="H70" s="376"/>
      <c r="I70" s="377"/>
      <c r="J70" s="409"/>
    </row>
    <row r="71" spans="1:12" ht="24" x14ac:dyDescent="0.2">
      <c r="A71" s="468" t="s">
        <v>1028</v>
      </c>
      <c r="B71" s="487"/>
      <c r="C71" s="471"/>
      <c r="D71" s="471"/>
      <c r="E71" s="471"/>
      <c r="F71" s="428"/>
      <c r="G71" s="476"/>
      <c r="H71" s="476"/>
      <c r="I71" s="428"/>
      <c r="J71" s="409"/>
    </row>
    <row r="72" spans="1:12" ht="24" x14ac:dyDescent="0.2">
      <c r="A72" s="482" t="s">
        <v>917</v>
      </c>
      <c r="B72" s="487"/>
      <c r="C72" s="471">
        <v>15</v>
      </c>
      <c r="D72" s="471">
        <v>2606040</v>
      </c>
      <c r="E72" s="471">
        <f>C72*D72</f>
        <v>39090600</v>
      </c>
      <c r="F72" s="530"/>
      <c r="G72" s="378">
        <v>15</v>
      </c>
      <c r="H72" s="378">
        <v>2606040</v>
      </c>
      <c r="I72" s="378">
        <f>G72*H72</f>
        <v>39090600</v>
      </c>
      <c r="J72" s="409"/>
    </row>
    <row r="73" spans="1:12" ht="36" x14ac:dyDescent="0.2">
      <c r="A73" s="381" t="s">
        <v>877</v>
      </c>
      <c r="B73" s="487"/>
      <c r="C73" s="471"/>
      <c r="D73" s="471"/>
      <c r="E73" s="474">
        <v>37834000</v>
      </c>
      <c r="F73" s="530" t="s">
        <v>1029</v>
      </c>
      <c r="G73" s="476"/>
      <c r="H73" s="476"/>
      <c r="I73" s="428">
        <v>30040000</v>
      </c>
      <c r="J73" s="413"/>
    </row>
    <row r="74" spans="1:12" ht="12.75" x14ac:dyDescent="0.2">
      <c r="A74" s="381" t="s">
        <v>1030</v>
      </c>
      <c r="B74" s="487"/>
      <c r="C74" s="471"/>
      <c r="D74" s="471"/>
      <c r="E74" s="471"/>
      <c r="F74" s="428"/>
      <c r="G74" s="476"/>
      <c r="H74" s="476"/>
      <c r="I74" s="428"/>
      <c r="J74" s="409"/>
    </row>
    <row r="75" spans="1:12" ht="12.75" x14ac:dyDescent="0.2">
      <c r="A75" s="381" t="s">
        <v>1031</v>
      </c>
      <c r="B75" s="471"/>
      <c r="C75" s="480">
        <v>12.33</v>
      </c>
      <c r="D75" s="471">
        <v>1632000</v>
      </c>
      <c r="E75" s="471">
        <f>C75*D75</f>
        <v>20122560</v>
      </c>
      <c r="F75" s="600" t="s">
        <v>1054</v>
      </c>
      <c r="G75" s="379">
        <v>14.4</v>
      </c>
      <c r="H75" s="589">
        <v>1900000</v>
      </c>
      <c r="I75" s="378">
        <f>G75*H75</f>
        <v>27360000</v>
      </c>
      <c r="J75" s="414"/>
    </row>
    <row r="76" spans="1:12" ht="36" x14ac:dyDescent="0.2">
      <c r="A76" s="381" t="s">
        <v>1032</v>
      </c>
      <c r="B76" s="471"/>
      <c r="C76" s="471"/>
      <c r="D76" s="471"/>
      <c r="E76" s="474">
        <v>7038795</v>
      </c>
      <c r="F76" s="530" t="s">
        <v>1029</v>
      </c>
      <c r="G76" s="476"/>
      <c r="H76" s="476"/>
      <c r="I76" s="428">
        <v>13278900</v>
      </c>
      <c r="J76" s="415"/>
    </row>
    <row r="77" spans="1:12" ht="24" x14ac:dyDescent="0.2">
      <c r="A77" s="468" t="s">
        <v>1033</v>
      </c>
      <c r="B77" s="471"/>
      <c r="C77" s="471"/>
      <c r="D77" s="471"/>
      <c r="E77" s="474"/>
      <c r="F77" s="530"/>
      <c r="G77" s="593">
        <v>0</v>
      </c>
      <c r="H77" s="377">
        <v>285</v>
      </c>
      <c r="I77" s="593">
        <f>G77*H77</f>
        <v>0</v>
      </c>
      <c r="J77" s="409"/>
    </row>
    <row r="78" spans="1:12" ht="12.75" x14ac:dyDescent="0.2">
      <c r="A78" s="468" t="s">
        <v>1034</v>
      </c>
      <c r="B78" s="471"/>
      <c r="C78" s="471"/>
      <c r="D78" s="471"/>
      <c r="E78" s="490"/>
      <c r="F78" s="530"/>
      <c r="G78" s="533"/>
      <c r="H78" s="377"/>
      <c r="I78" s="377"/>
      <c r="J78" s="409"/>
      <c r="K78" s="477">
        <f>SUM(I56:I82)</f>
        <v>147563700</v>
      </c>
      <c r="L78" s="5" t="s">
        <v>918</v>
      </c>
    </row>
    <row r="79" spans="1:12" ht="12.75" x14ac:dyDescent="0.2">
      <c r="A79" s="468" t="s">
        <v>1035</v>
      </c>
      <c r="B79" s="471"/>
      <c r="C79" s="471"/>
      <c r="D79" s="471"/>
      <c r="E79" s="490"/>
      <c r="F79" s="530"/>
      <c r="G79" s="533"/>
      <c r="H79" s="377"/>
      <c r="I79" s="377"/>
      <c r="J79" s="409"/>
      <c r="K79" s="477"/>
    </row>
    <row r="80" spans="1:12" ht="36" x14ac:dyDescent="0.2">
      <c r="A80" s="468" t="s">
        <v>1036</v>
      </c>
      <c r="B80" s="471"/>
      <c r="C80" s="471"/>
      <c r="D80" s="471"/>
      <c r="E80" s="490"/>
      <c r="F80" s="568" t="s">
        <v>1037</v>
      </c>
      <c r="G80" s="533">
        <v>1.8</v>
      </c>
      <c r="H80" s="377">
        <v>2993000</v>
      </c>
      <c r="I80" s="377">
        <f>G80*H80</f>
        <v>5387400</v>
      </c>
      <c r="J80" s="409"/>
      <c r="K80" s="477"/>
    </row>
    <row r="81" spans="1:14" ht="36" x14ac:dyDescent="0.2">
      <c r="A81" s="468" t="s">
        <v>1038</v>
      </c>
      <c r="B81" s="471"/>
      <c r="C81" s="471"/>
      <c r="D81" s="471"/>
      <c r="E81" s="490"/>
      <c r="F81" s="568" t="s">
        <v>1039</v>
      </c>
      <c r="G81" s="533">
        <v>2</v>
      </c>
      <c r="H81" s="377">
        <v>4419000</v>
      </c>
      <c r="I81" s="377">
        <f>G81*H81</f>
        <v>8838000</v>
      </c>
      <c r="J81" s="409"/>
      <c r="K81" s="477"/>
    </row>
    <row r="82" spans="1:14" ht="24" x14ac:dyDescent="0.2">
      <c r="A82" s="468" t="s">
        <v>1040</v>
      </c>
      <c r="B82" s="471"/>
      <c r="C82" s="471"/>
      <c r="D82" s="471"/>
      <c r="E82" s="490"/>
      <c r="F82" s="530"/>
      <c r="G82" s="533"/>
      <c r="H82" s="377">
        <v>0</v>
      </c>
      <c r="I82" s="377">
        <v>0</v>
      </c>
      <c r="J82" s="409"/>
      <c r="K82" s="477"/>
    </row>
    <row r="83" spans="1:14" ht="12.75" x14ac:dyDescent="0.2">
      <c r="A83" s="468"/>
      <c r="B83" s="471"/>
      <c r="C83" s="471"/>
      <c r="D83" s="471"/>
      <c r="E83" s="490"/>
      <c r="F83" s="530"/>
      <c r="G83" s="533"/>
      <c r="H83" s="377"/>
      <c r="I83" s="377"/>
      <c r="J83" s="409"/>
      <c r="K83" s="477"/>
    </row>
    <row r="84" spans="1:14" ht="12.75" x14ac:dyDescent="0.2">
      <c r="A84" s="381" t="s">
        <v>883</v>
      </c>
      <c r="B84" s="471"/>
      <c r="C84" s="471"/>
      <c r="D84" s="471"/>
      <c r="E84" s="490"/>
      <c r="F84" s="428"/>
      <c r="G84" s="476"/>
      <c r="H84" s="476"/>
      <c r="I84" s="428"/>
      <c r="J84" s="409"/>
    </row>
    <row r="85" spans="1:14" ht="12.75" x14ac:dyDescent="0.2">
      <c r="A85" s="381" t="s">
        <v>884</v>
      </c>
      <c r="B85" s="471"/>
      <c r="C85" s="471"/>
      <c r="D85" s="471"/>
      <c r="E85" s="490"/>
      <c r="F85" s="428"/>
      <c r="G85" s="476"/>
      <c r="H85" s="476"/>
      <c r="I85" s="428"/>
      <c r="J85" s="409"/>
    </row>
    <row r="86" spans="1:14" ht="12.75" x14ac:dyDescent="0.2">
      <c r="A86" s="381" t="s">
        <v>885</v>
      </c>
      <c r="B86" s="471"/>
      <c r="C86" s="471">
        <v>4865</v>
      </c>
      <c r="D86" s="471">
        <v>1140</v>
      </c>
      <c r="E86" s="491"/>
      <c r="F86" s="428"/>
      <c r="G86" s="378">
        <v>4705</v>
      </c>
      <c r="H86" s="589">
        <v>1210</v>
      </c>
      <c r="I86" s="197">
        <f>G86*H86</f>
        <v>5693050</v>
      </c>
      <c r="J86" s="409"/>
    </row>
    <row r="87" spans="1:14" ht="48" x14ac:dyDescent="0.2">
      <c r="A87" s="468" t="s">
        <v>886</v>
      </c>
      <c r="B87" s="471"/>
      <c r="C87" s="471"/>
      <c r="D87" s="471"/>
      <c r="E87" s="491"/>
      <c r="F87" s="568" t="s">
        <v>1041</v>
      </c>
      <c r="G87" s="471"/>
      <c r="H87" s="471"/>
      <c r="I87" s="197">
        <v>0</v>
      </c>
      <c r="J87" s="409"/>
    </row>
    <row r="88" spans="1:14" ht="48" x14ac:dyDescent="0.2">
      <c r="A88" s="468" t="s">
        <v>1042</v>
      </c>
      <c r="B88" s="471"/>
      <c r="C88" s="471"/>
      <c r="D88" s="471"/>
      <c r="E88" s="491"/>
      <c r="F88" s="568" t="s">
        <v>1043</v>
      </c>
      <c r="G88" s="471"/>
      <c r="H88" s="471"/>
      <c r="I88" s="197">
        <v>0</v>
      </c>
      <c r="J88" s="409"/>
    </row>
    <row r="89" spans="1:14" ht="12.75" x14ac:dyDescent="0.2">
      <c r="A89" s="482" t="s">
        <v>1044</v>
      </c>
      <c r="B89" s="487"/>
      <c r="C89" s="471"/>
      <c r="D89" s="485"/>
      <c r="E89" s="471"/>
      <c r="F89" s="428"/>
      <c r="G89" s="476"/>
      <c r="H89" s="476"/>
      <c r="I89" s="428"/>
      <c r="J89" s="409"/>
      <c r="K89" s="477">
        <f>SUM(I86+I87)</f>
        <v>5693050</v>
      </c>
      <c r="L89" s="5" t="s">
        <v>919</v>
      </c>
    </row>
    <row r="90" spans="1:14" ht="24" x14ac:dyDescent="0.2">
      <c r="A90" s="492" t="s">
        <v>1045</v>
      </c>
      <c r="B90" s="536"/>
      <c r="C90" s="537"/>
      <c r="D90" s="378"/>
      <c r="E90" s="378"/>
      <c r="F90" s="538"/>
      <c r="G90" s="376"/>
      <c r="H90" s="376"/>
      <c r="I90" s="428"/>
      <c r="J90" s="409"/>
      <c r="K90" s="477"/>
      <c r="L90" s="477">
        <f>I15+I18+I21+I24+I27+I30+I33</f>
        <v>-123432901</v>
      </c>
      <c r="M90" s="539" t="s">
        <v>920</v>
      </c>
      <c r="N90" s="196"/>
    </row>
    <row r="91" spans="1:14" ht="12.75" x14ac:dyDescent="0.2">
      <c r="A91" s="517" t="s">
        <v>1046</v>
      </c>
      <c r="B91" s="540"/>
      <c r="C91" s="541"/>
      <c r="D91" s="542"/>
      <c r="E91" s="542"/>
      <c r="F91" s="543"/>
      <c r="G91" s="544"/>
      <c r="H91" s="544"/>
      <c r="I91" s="545">
        <v>0</v>
      </c>
      <c r="J91" s="409"/>
      <c r="K91" s="477"/>
      <c r="L91" s="477"/>
      <c r="M91" s="539"/>
      <c r="N91" s="196"/>
    </row>
    <row r="92" spans="1:14" ht="12.75" x14ac:dyDescent="0.2">
      <c r="A92" s="517"/>
      <c r="B92" s="540"/>
      <c r="C92" s="541"/>
      <c r="D92" s="542"/>
      <c r="E92" s="542"/>
      <c r="F92" s="540"/>
      <c r="G92" s="544"/>
      <c r="H92" s="544"/>
      <c r="I92" s="498"/>
      <c r="J92" s="409"/>
      <c r="K92" s="477"/>
      <c r="L92" s="477"/>
      <c r="N92" s="196"/>
    </row>
    <row r="93" spans="1:14" ht="12.75" x14ac:dyDescent="0.2">
      <c r="A93" s="517" t="s">
        <v>907</v>
      </c>
      <c r="B93" s="540"/>
      <c r="C93" s="541"/>
      <c r="D93" s="542"/>
      <c r="E93" s="542"/>
      <c r="F93" s="540"/>
      <c r="G93" s="544"/>
      <c r="H93" s="544"/>
      <c r="I93" s="498"/>
      <c r="J93" s="409"/>
      <c r="K93" s="477"/>
      <c r="L93" s="477"/>
      <c r="N93" s="196"/>
    </row>
    <row r="94" spans="1:14" ht="12.75" x14ac:dyDescent="0.2">
      <c r="A94" s="517" t="s">
        <v>908</v>
      </c>
      <c r="B94" s="540"/>
      <c r="C94" s="541"/>
      <c r="D94" s="542"/>
      <c r="E94" s="542"/>
      <c r="F94" s="540"/>
      <c r="G94" s="544"/>
      <c r="H94" s="544"/>
      <c r="I94" s="545">
        <v>0</v>
      </c>
      <c r="J94" s="409"/>
      <c r="K94" s="477"/>
      <c r="L94" s="477"/>
      <c r="N94" s="196"/>
    </row>
    <row r="95" spans="1:14" ht="12.75" x14ac:dyDescent="0.2">
      <c r="A95" s="518" t="s">
        <v>909</v>
      </c>
      <c r="B95" s="540"/>
      <c r="C95" s="541"/>
      <c r="D95" s="542"/>
      <c r="E95" s="542"/>
      <c r="F95" s="540"/>
      <c r="G95" s="544"/>
      <c r="H95" s="544"/>
      <c r="I95" s="545">
        <v>0</v>
      </c>
      <c r="J95" s="409"/>
      <c r="K95" s="477">
        <f>I94+I95</f>
        <v>0</v>
      </c>
      <c r="L95" s="477" t="s">
        <v>921</v>
      </c>
      <c r="N95" s="196"/>
    </row>
    <row r="96" spans="1:14" ht="13.5" thickBot="1" x14ac:dyDescent="0.25">
      <c r="A96" s="494"/>
      <c r="B96" s="495"/>
      <c r="C96" s="496"/>
      <c r="D96" s="497"/>
      <c r="E96" s="496"/>
      <c r="F96" s="498"/>
      <c r="G96" s="499"/>
      <c r="H96" s="499"/>
      <c r="I96" s="498"/>
      <c r="J96" s="409"/>
    </row>
    <row r="97" spans="1:256" ht="12.75" thickBot="1" x14ac:dyDescent="0.25">
      <c r="A97" s="500" t="s">
        <v>888</v>
      </c>
      <c r="B97" s="501"/>
      <c r="C97" s="501"/>
      <c r="D97" s="502"/>
      <c r="E97" s="503" t="e">
        <f>E12+E14+E17+E20+E23+E28+E31+E34+E40+E41+#REF!+E42+E44+E47+E49+E52+E56+E57+E61+E62+E65+E66+E69+#REF!+E72+E73+E75+E76</f>
        <v>#REF!</v>
      </c>
      <c r="F97" s="1476">
        <f>I12+I16+I19+I22+I25+I28+I31+I34+I35+I36+I40+I41+I42+I43+I44+I45+I47+I48+I49+I50+I52+I53+I56+I57+I64+I65+I67+I68+I69+I72+I73+I75+I76+I77+I80+I81+I82+I86+I87+I88+I94+I95+I91</f>
        <v>789557318</v>
      </c>
      <c r="G97" s="1476"/>
      <c r="H97" s="1476"/>
      <c r="I97" s="1477"/>
      <c r="J97" s="6"/>
      <c r="K97" s="504">
        <f>K78+K53+K35+K89</f>
        <v>789557318</v>
      </c>
      <c r="L97" s="546" t="s">
        <v>922</v>
      </c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6"/>
      <c r="FV97" s="6"/>
      <c r="FW97" s="6"/>
      <c r="FX97" s="6"/>
      <c r="FY97" s="6"/>
      <c r="FZ97" s="6"/>
      <c r="GA97" s="6"/>
      <c r="GB97" s="6"/>
      <c r="GC97" s="6"/>
      <c r="GD97" s="6"/>
      <c r="GE97" s="6"/>
      <c r="GF97" s="6"/>
      <c r="GG97" s="6"/>
      <c r="GH97" s="6"/>
      <c r="GI97" s="6"/>
      <c r="GJ97" s="6"/>
      <c r="GK97" s="6"/>
      <c r="GL97" s="6"/>
      <c r="GM97" s="6"/>
      <c r="GN97" s="6"/>
      <c r="GO97" s="6"/>
      <c r="GP97" s="6"/>
      <c r="GQ97" s="6"/>
      <c r="GR97" s="6"/>
      <c r="GS97" s="6"/>
      <c r="GT97" s="6"/>
      <c r="GU97" s="6"/>
      <c r="GV97" s="6"/>
      <c r="GW97" s="6"/>
      <c r="GX97" s="6"/>
      <c r="GY97" s="6"/>
      <c r="GZ97" s="6"/>
      <c r="HA97" s="6"/>
      <c r="HB97" s="6"/>
      <c r="HC97" s="6"/>
      <c r="HD97" s="6"/>
      <c r="HE97" s="6"/>
      <c r="HF97" s="6"/>
      <c r="HG97" s="6"/>
      <c r="HH97" s="6"/>
      <c r="HI97" s="6"/>
      <c r="HJ97" s="6"/>
      <c r="HK97" s="6"/>
      <c r="HL97" s="6"/>
      <c r="HM97" s="6"/>
      <c r="HN97" s="6"/>
      <c r="HO97" s="6"/>
      <c r="HP97" s="6"/>
      <c r="HQ97" s="6"/>
      <c r="HR97" s="6"/>
      <c r="HS97" s="6"/>
      <c r="HT97" s="6"/>
      <c r="HU97" s="6"/>
      <c r="HV97" s="6"/>
      <c r="HW97" s="6"/>
      <c r="HX97" s="6"/>
      <c r="HY97" s="6"/>
      <c r="HZ97" s="6"/>
      <c r="IA97" s="6"/>
      <c r="IB97" s="6"/>
      <c r="IC97" s="6"/>
      <c r="ID97" s="6"/>
      <c r="IE97" s="6"/>
      <c r="IF97" s="6"/>
      <c r="IG97" s="6"/>
      <c r="IH97" s="6"/>
      <c r="II97" s="6"/>
      <c r="IJ97" s="6"/>
      <c r="IK97" s="6"/>
      <c r="IL97" s="6"/>
      <c r="IM97" s="6"/>
      <c r="IN97" s="6"/>
      <c r="IO97" s="6"/>
      <c r="IP97" s="6"/>
      <c r="IQ97" s="6"/>
      <c r="IR97" s="6"/>
      <c r="IS97" s="6"/>
      <c r="IT97" s="6"/>
      <c r="IU97" s="6"/>
      <c r="IV97" s="6"/>
    </row>
    <row r="99" spans="1:256" ht="15.75" x14ac:dyDescent="0.2">
      <c r="A99" s="547"/>
      <c r="B99" s="548"/>
      <c r="C99" s="548"/>
      <c r="D99" s="548"/>
      <c r="E99" s="549"/>
      <c r="F99" s="550"/>
      <c r="G99" s="550"/>
      <c r="H99" s="550"/>
      <c r="I99" s="550"/>
    </row>
    <row r="100" spans="1:256" ht="12.75" x14ac:dyDescent="0.2">
      <c r="A100" s="590" t="s">
        <v>1047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B1:N46"/>
  <sheetViews>
    <sheetView workbookViewId="0">
      <pane ySplit="7" topLeftCell="A8" activePane="bottomLeft" state="frozen"/>
      <selection activeCell="B65" sqref="B65"/>
      <selection pane="bottomLeft" activeCell="J7" sqref="J7:N8"/>
    </sheetView>
  </sheetViews>
  <sheetFormatPr defaultColWidth="9.140625" defaultRowHeight="14.45" customHeight="1" x14ac:dyDescent="0.2"/>
  <cols>
    <col min="1" max="1" width="9.140625" style="9"/>
    <col min="2" max="2" width="5.140625" style="228" customWidth="1"/>
    <col min="3" max="3" width="50.42578125" style="13" customWidth="1"/>
    <col min="4" max="4" width="11.85546875" style="113" customWidth="1"/>
    <col min="5" max="5" width="12.7109375" style="113" customWidth="1"/>
    <col min="6" max="6" width="13.5703125" style="113" customWidth="1"/>
    <col min="7" max="9" width="0" style="114" hidden="1" customWidth="1"/>
    <col min="10" max="16384" width="9.140625" style="9"/>
  </cols>
  <sheetData>
    <row r="1" spans="2:14" ht="14.45" customHeight="1" x14ac:dyDescent="0.2">
      <c r="C1" s="1468" t="s">
        <v>1331</v>
      </c>
      <c r="D1" s="1468"/>
      <c r="E1" s="1468"/>
      <c r="F1" s="1468"/>
      <c r="G1" s="1468"/>
      <c r="H1" s="1468"/>
      <c r="I1" s="1468"/>
    </row>
    <row r="2" spans="2:14" ht="14.45" customHeight="1" x14ac:dyDescent="0.2">
      <c r="C2" s="1468"/>
      <c r="D2" s="1468"/>
      <c r="E2" s="1468"/>
      <c r="F2" s="1468"/>
      <c r="G2" s="1468"/>
      <c r="H2" s="1468"/>
      <c r="I2" s="1468"/>
    </row>
    <row r="3" spans="2:14" ht="14.45" customHeight="1" x14ac:dyDescent="0.2">
      <c r="B3" s="1473" t="s">
        <v>54</v>
      </c>
      <c r="C3" s="1464"/>
      <c r="D3" s="1464"/>
      <c r="E3" s="1464"/>
      <c r="F3" s="1464"/>
      <c r="G3" s="1464"/>
      <c r="H3" s="1464"/>
      <c r="I3" s="1464"/>
    </row>
    <row r="4" spans="2:14" s="10" customFormat="1" ht="14.45" customHeight="1" x14ac:dyDescent="0.2">
      <c r="B4" s="1482" t="s">
        <v>1170</v>
      </c>
      <c r="C4" s="1464"/>
      <c r="D4" s="1464"/>
      <c r="E4" s="1464"/>
      <c r="F4" s="1464"/>
      <c r="G4" s="1464"/>
      <c r="H4" s="1464"/>
      <c r="I4" s="1464"/>
    </row>
    <row r="5" spans="2:14" s="10" customFormat="1" ht="14.45" customHeight="1" x14ac:dyDescent="0.15">
      <c r="B5" s="125"/>
    </row>
    <row r="6" spans="2:14" ht="14.45" customHeight="1" x14ac:dyDescent="0.2">
      <c r="B6" s="1416" t="s">
        <v>435</v>
      </c>
      <c r="C6" s="1464"/>
      <c r="D6" s="1464"/>
      <c r="E6" s="1464"/>
      <c r="F6" s="1464"/>
      <c r="G6" s="1464"/>
      <c r="H6" s="1464"/>
      <c r="I6" s="1464"/>
    </row>
    <row r="7" spans="2:14" s="11" customFormat="1" ht="36.75" customHeight="1" x14ac:dyDescent="0.2">
      <c r="B7" s="1483" t="s">
        <v>56</v>
      </c>
      <c r="C7" s="1485" t="s">
        <v>85</v>
      </c>
      <c r="D7" s="1487" t="s">
        <v>1169</v>
      </c>
      <c r="E7" s="1487"/>
      <c r="F7" s="1487"/>
      <c r="G7" s="122"/>
      <c r="J7" s="1413" t="s">
        <v>1337</v>
      </c>
      <c r="K7" s="1413"/>
      <c r="L7" s="1413" t="s">
        <v>1338</v>
      </c>
      <c r="M7" s="1413"/>
      <c r="N7" s="1413"/>
    </row>
    <row r="8" spans="2:14" s="11" customFormat="1" ht="40.9" customHeight="1" x14ac:dyDescent="0.2">
      <c r="B8" s="1484"/>
      <c r="C8" s="1486"/>
      <c r="D8" s="882" t="s">
        <v>62</v>
      </c>
      <c r="E8" s="882" t="s">
        <v>63</v>
      </c>
      <c r="F8" s="882" t="s">
        <v>64</v>
      </c>
      <c r="G8" s="122"/>
      <c r="J8" s="740" t="s">
        <v>62</v>
      </c>
      <c r="K8" s="740" t="s">
        <v>63</v>
      </c>
      <c r="L8" s="740" t="s">
        <v>62</v>
      </c>
      <c r="M8" s="740" t="s">
        <v>63</v>
      </c>
      <c r="N8" s="740" t="s">
        <v>64</v>
      </c>
    </row>
    <row r="9" spans="2:14" s="11" customFormat="1" ht="10.5" customHeight="1" x14ac:dyDescent="0.2">
      <c r="B9" s="883" t="s">
        <v>480</v>
      </c>
      <c r="C9" s="884"/>
      <c r="D9" s="804"/>
      <c r="E9" s="804"/>
      <c r="F9" s="804"/>
      <c r="G9" s="759"/>
      <c r="H9" s="783"/>
      <c r="I9" s="783"/>
      <c r="J9" s="783"/>
      <c r="K9" s="783"/>
      <c r="L9" s="783"/>
      <c r="M9" s="783"/>
      <c r="N9" s="783"/>
    </row>
    <row r="10" spans="2:14" s="11" customFormat="1" ht="14.45" customHeight="1" x14ac:dyDescent="0.2">
      <c r="B10" s="883" t="s">
        <v>488</v>
      </c>
      <c r="C10" s="885" t="s">
        <v>86</v>
      </c>
      <c r="D10" s="804"/>
      <c r="E10" s="804"/>
      <c r="F10" s="804"/>
      <c r="G10" s="759"/>
      <c r="H10" s="783"/>
      <c r="I10" s="783"/>
      <c r="J10" s="783"/>
      <c r="K10" s="783"/>
      <c r="L10" s="783"/>
      <c r="M10" s="783"/>
      <c r="N10" s="783"/>
    </row>
    <row r="11" spans="2:14" s="11" customFormat="1" ht="14.45" customHeight="1" x14ac:dyDescent="0.2">
      <c r="B11" s="883" t="s">
        <v>489</v>
      </c>
      <c r="C11" s="886" t="s">
        <v>1126</v>
      </c>
      <c r="D11" s="804"/>
      <c r="E11" s="804"/>
      <c r="F11" s="804"/>
      <c r="G11" s="759"/>
      <c r="H11" s="783"/>
      <c r="I11" s="783"/>
      <c r="J11" s="783"/>
      <c r="K11" s="783"/>
      <c r="L11" s="783"/>
      <c r="M11" s="783"/>
      <c r="N11" s="783"/>
    </row>
    <row r="12" spans="2:14" s="11" customFormat="1" ht="14.45" customHeight="1" x14ac:dyDescent="0.2">
      <c r="B12" s="883" t="s">
        <v>490</v>
      </c>
      <c r="C12" s="887" t="s">
        <v>98</v>
      </c>
      <c r="D12" s="744"/>
      <c r="E12" s="744">
        <v>19400</v>
      </c>
      <c r="F12" s="744">
        <f>SUM(D12:E12)</f>
        <v>19400</v>
      </c>
      <c r="G12" s="759"/>
      <c r="H12" s="783"/>
      <c r="I12" s="783"/>
      <c r="J12" s="783"/>
      <c r="K12" s="783"/>
      <c r="L12" s="783"/>
      <c r="M12" s="783"/>
      <c r="N12" s="783"/>
    </row>
    <row r="13" spans="2:14" s="11" customFormat="1" ht="14.45" customHeight="1" x14ac:dyDescent="0.2">
      <c r="B13" s="883" t="s">
        <v>491</v>
      </c>
      <c r="C13" s="887" t="s">
        <v>284</v>
      </c>
      <c r="D13" s="744"/>
      <c r="E13" s="744"/>
      <c r="F13" s="744">
        <f>SUM(D13:E13)</f>
        <v>0</v>
      </c>
      <c r="G13" s="759"/>
      <c r="H13" s="783"/>
      <c r="I13" s="783"/>
      <c r="J13" s="783"/>
      <c r="K13" s="783"/>
      <c r="L13" s="783"/>
      <c r="M13" s="783"/>
      <c r="N13" s="783"/>
    </row>
    <row r="14" spans="2:14" s="11" customFormat="1" ht="14.45" customHeight="1" x14ac:dyDescent="0.2">
      <c r="B14" s="883" t="s">
        <v>492</v>
      </c>
      <c r="C14" s="854" t="s">
        <v>99</v>
      </c>
      <c r="D14" s="744"/>
      <c r="E14" s="744">
        <v>0</v>
      </c>
      <c r="F14" s="744">
        <f>SUM(D14:E14)</f>
        <v>0</v>
      </c>
      <c r="G14" s="759"/>
      <c r="H14" s="783"/>
      <c r="I14" s="783"/>
      <c r="J14" s="783"/>
      <c r="K14" s="783"/>
      <c r="L14" s="783"/>
      <c r="M14" s="783"/>
      <c r="N14" s="783"/>
    </row>
    <row r="15" spans="2:14" s="11" customFormat="1" ht="14.45" customHeight="1" thickBot="1" x14ac:dyDescent="0.25">
      <c r="B15" s="883" t="s">
        <v>493</v>
      </c>
      <c r="C15" s="892" t="s">
        <v>100</v>
      </c>
      <c r="D15" s="879"/>
      <c r="E15" s="879"/>
      <c r="F15" s="879"/>
      <c r="G15" s="893"/>
      <c r="H15" s="894"/>
      <c r="I15" s="894"/>
      <c r="J15" s="894"/>
      <c r="K15" s="894"/>
      <c r="L15" s="894"/>
      <c r="M15" s="894"/>
      <c r="N15" s="894"/>
    </row>
    <row r="16" spans="2:14" s="11" customFormat="1" ht="14.45" customHeight="1" thickBot="1" x14ac:dyDescent="0.25">
      <c r="B16" s="891" t="s">
        <v>494</v>
      </c>
      <c r="C16" s="898" t="s">
        <v>1129</v>
      </c>
      <c r="D16" s="675">
        <f>SUM(D12:D15)</f>
        <v>0</v>
      </c>
      <c r="E16" s="675">
        <f>SUM(E12:E15)</f>
        <v>19400</v>
      </c>
      <c r="F16" s="675">
        <f>SUM(F12:F15)</f>
        <v>19400</v>
      </c>
      <c r="G16" s="899"/>
      <c r="H16" s="900"/>
      <c r="I16" s="900"/>
      <c r="J16" s="900"/>
      <c r="K16" s="900"/>
      <c r="L16" s="900"/>
      <c r="M16" s="900"/>
      <c r="N16" s="901"/>
    </row>
    <row r="17" spans="2:14" s="11" customFormat="1" ht="14.45" customHeight="1" x14ac:dyDescent="0.2">
      <c r="B17" s="883" t="s">
        <v>495</v>
      </c>
      <c r="C17" s="895"/>
      <c r="D17" s="875"/>
      <c r="E17" s="875"/>
      <c r="F17" s="875"/>
      <c r="G17" s="896"/>
      <c r="H17" s="897"/>
      <c r="I17" s="897"/>
      <c r="J17" s="897"/>
      <c r="K17" s="897"/>
      <c r="L17" s="897"/>
      <c r="M17" s="897"/>
      <c r="N17" s="897"/>
    </row>
    <row r="18" spans="2:14" s="11" customFormat="1" ht="14.45" customHeight="1" x14ac:dyDescent="0.2">
      <c r="B18" s="883" t="s">
        <v>531</v>
      </c>
      <c r="C18" s="888" t="s">
        <v>285</v>
      </c>
      <c r="D18" s="742"/>
      <c r="E18" s="742"/>
      <c r="F18" s="742"/>
      <c r="G18" s="759"/>
      <c r="H18" s="783"/>
      <c r="I18" s="783"/>
      <c r="J18" s="783"/>
      <c r="K18" s="783"/>
      <c r="L18" s="783"/>
      <c r="M18" s="783"/>
      <c r="N18" s="783"/>
    </row>
    <row r="19" spans="2:14" s="11" customFormat="1" ht="14.45" customHeight="1" thickBot="1" x14ac:dyDescent="0.25">
      <c r="B19" s="883" t="s">
        <v>532</v>
      </c>
      <c r="C19" s="892" t="s">
        <v>1147</v>
      </c>
      <c r="D19" s="810"/>
      <c r="E19" s="879">
        <v>180</v>
      </c>
      <c r="F19" s="879">
        <f>D19+E19</f>
        <v>180</v>
      </c>
      <c r="G19" s="893"/>
      <c r="H19" s="894"/>
      <c r="I19" s="894"/>
      <c r="J19" s="894"/>
      <c r="K19" s="894"/>
      <c r="L19" s="894"/>
      <c r="M19" s="894"/>
      <c r="N19" s="894"/>
    </row>
    <row r="20" spans="2:14" s="11" customFormat="1" ht="14.45" customHeight="1" thickBot="1" x14ac:dyDescent="0.25">
      <c r="B20" s="891" t="s">
        <v>533</v>
      </c>
      <c r="C20" s="898" t="s">
        <v>286</v>
      </c>
      <c r="D20" s="675">
        <f>D19</f>
        <v>0</v>
      </c>
      <c r="E20" s="675">
        <f>E19</f>
        <v>180</v>
      </c>
      <c r="F20" s="675">
        <f>F19</f>
        <v>180</v>
      </c>
      <c r="G20" s="899"/>
      <c r="H20" s="900"/>
      <c r="I20" s="900"/>
      <c r="J20" s="900"/>
      <c r="K20" s="900"/>
      <c r="L20" s="900"/>
      <c r="M20" s="900"/>
      <c r="N20" s="901"/>
    </row>
    <row r="21" spans="2:14" s="11" customFormat="1" ht="14.45" customHeight="1" x14ac:dyDescent="0.2">
      <c r="B21" s="883" t="s">
        <v>534</v>
      </c>
      <c r="C21" s="895"/>
      <c r="D21" s="875"/>
      <c r="E21" s="875"/>
      <c r="F21" s="875"/>
      <c r="G21" s="896"/>
      <c r="H21" s="897"/>
      <c r="I21" s="897"/>
      <c r="J21" s="897"/>
      <c r="K21" s="897"/>
      <c r="L21" s="897"/>
      <c r="M21" s="897"/>
      <c r="N21" s="897"/>
    </row>
    <row r="22" spans="2:14" s="11" customFormat="1" ht="14.45" customHeight="1" x14ac:dyDescent="0.2">
      <c r="B22" s="883" t="s">
        <v>535</v>
      </c>
      <c r="C22" s="889" t="s">
        <v>1127</v>
      </c>
      <c r="D22" s="742"/>
      <c r="E22" s="742"/>
      <c r="F22" s="742"/>
      <c r="G22" s="759"/>
      <c r="H22" s="783"/>
      <c r="I22" s="783"/>
      <c r="J22" s="783"/>
      <c r="K22" s="783"/>
      <c r="L22" s="783"/>
      <c r="M22" s="783"/>
      <c r="N22" s="783"/>
    </row>
    <row r="23" spans="2:14" s="11" customFormat="1" ht="14.45" customHeight="1" thickBot="1" x14ac:dyDescent="0.25">
      <c r="B23" s="883" t="s">
        <v>536</v>
      </c>
      <c r="C23" s="892"/>
      <c r="D23" s="879"/>
      <c r="E23" s="879"/>
      <c r="F23" s="879">
        <f>D23+E23</f>
        <v>0</v>
      </c>
      <c r="G23" s="893"/>
      <c r="H23" s="894"/>
      <c r="I23" s="894"/>
      <c r="J23" s="894"/>
      <c r="K23" s="894"/>
      <c r="L23" s="894"/>
      <c r="M23" s="894"/>
      <c r="N23" s="894"/>
    </row>
    <row r="24" spans="2:14" s="11" customFormat="1" ht="14.45" customHeight="1" thickBot="1" x14ac:dyDescent="0.25">
      <c r="B24" s="891" t="s">
        <v>537</v>
      </c>
      <c r="C24" s="898" t="s">
        <v>1128</v>
      </c>
      <c r="D24" s="675">
        <f>SUM(D23)</f>
        <v>0</v>
      </c>
      <c r="E24" s="675">
        <f t="shared" ref="E24:F24" si="0">SUM(E23)</f>
        <v>0</v>
      </c>
      <c r="F24" s="675">
        <f t="shared" si="0"/>
        <v>0</v>
      </c>
      <c r="G24" s="899"/>
      <c r="H24" s="900"/>
      <c r="I24" s="900"/>
      <c r="J24" s="900"/>
      <c r="K24" s="900"/>
      <c r="L24" s="900"/>
      <c r="M24" s="900"/>
      <c r="N24" s="901"/>
    </row>
    <row r="25" spans="2:14" s="11" customFormat="1" ht="12" customHeight="1" x14ac:dyDescent="0.2">
      <c r="B25" s="883" t="s">
        <v>538</v>
      </c>
      <c r="C25" s="902"/>
      <c r="D25" s="903"/>
      <c r="E25" s="903"/>
      <c r="F25" s="903"/>
      <c r="G25" s="896"/>
      <c r="H25" s="897"/>
      <c r="I25" s="897"/>
      <c r="J25" s="897"/>
      <c r="K25" s="897"/>
      <c r="L25" s="897"/>
      <c r="M25" s="897"/>
      <c r="N25" s="897"/>
    </row>
    <row r="26" spans="2:14" s="10" customFormat="1" ht="14.45" customHeight="1" x14ac:dyDescent="0.2">
      <c r="B26" s="883" t="s">
        <v>540</v>
      </c>
      <c r="C26" s="890" t="s">
        <v>968</v>
      </c>
      <c r="D26" s="742"/>
      <c r="E26" s="742"/>
      <c r="F26" s="742"/>
      <c r="G26" s="760"/>
      <c r="H26" s="761"/>
      <c r="I26" s="761"/>
      <c r="J26" s="761"/>
      <c r="K26" s="761"/>
      <c r="L26" s="761"/>
      <c r="M26" s="761"/>
      <c r="N26" s="761"/>
    </row>
    <row r="27" spans="2:14" s="10" customFormat="1" ht="12.75" customHeight="1" thickBot="1" x14ac:dyDescent="0.25">
      <c r="B27" s="904" t="s">
        <v>541</v>
      </c>
      <c r="C27" s="905"/>
      <c r="D27" s="810"/>
      <c r="E27" s="879"/>
      <c r="F27" s="879">
        <f>SUM(D27:E27)</f>
        <v>0</v>
      </c>
      <c r="G27" s="767"/>
      <c r="H27" s="795"/>
      <c r="I27" s="795"/>
      <c r="J27" s="795"/>
      <c r="K27" s="795"/>
      <c r="L27" s="795"/>
      <c r="M27" s="795"/>
      <c r="N27" s="795"/>
    </row>
    <row r="28" spans="2:14" ht="14.45" customHeight="1" thickBot="1" x14ac:dyDescent="0.25">
      <c r="B28" s="909" t="s">
        <v>542</v>
      </c>
      <c r="C28" s="910" t="s">
        <v>1123</v>
      </c>
      <c r="D28" s="675">
        <f>SUM(D27)</f>
        <v>0</v>
      </c>
      <c r="E28" s="675">
        <f>SUM(E27)</f>
        <v>0</v>
      </c>
      <c r="F28" s="675">
        <f>SUM(F27)</f>
        <v>0</v>
      </c>
      <c r="G28" s="773"/>
      <c r="H28" s="880"/>
      <c r="I28" s="880"/>
      <c r="J28" s="880"/>
      <c r="K28" s="880"/>
      <c r="L28" s="880"/>
      <c r="M28" s="880"/>
      <c r="N28" s="774"/>
    </row>
    <row r="29" spans="2:14" ht="14.45" customHeight="1" x14ac:dyDescent="0.2">
      <c r="B29" s="906" t="s">
        <v>543</v>
      </c>
      <c r="C29" s="895"/>
      <c r="D29" s="875"/>
      <c r="E29" s="875"/>
      <c r="F29" s="875"/>
      <c r="G29" s="907"/>
      <c r="H29" s="908"/>
      <c r="I29" s="908"/>
      <c r="J29" s="908"/>
      <c r="K29" s="908"/>
      <c r="L29" s="908"/>
      <c r="M29" s="908"/>
      <c r="N29" s="908"/>
    </row>
    <row r="30" spans="2:14" ht="14.45" customHeight="1" x14ac:dyDescent="0.2">
      <c r="B30" s="883" t="s">
        <v>544</v>
      </c>
      <c r="C30" s="889" t="s">
        <v>169</v>
      </c>
      <c r="D30" s="742"/>
      <c r="E30" s="744"/>
      <c r="F30" s="744"/>
      <c r="G30" s="745"/>
      <c r="H30" s="746"/>
      <c r="I30" s="746"/>
      <c r="J30" s="746"/>
      <c r="K30" s="746"/>
      <c r="L30" s="746"/>
      <c r="M30" s="746"/>
      <c r="N30" s="746"/>
    </row>
    <row r="31" spans="2:14" ht="14.45" customHeight="1" thickBot="1" x14ac:dyDescent="0.25">
      <c r="B31" s="904" t="s">
        <v>545</v>
      </c>
      <c r="C31" s="892"/>
      <c r="D31" s="810"/>
      <c r="E31" s="879"/>
      <c r="F31" s="879"/>
      <c r="G31" s="770"/>
      <c r="H31" s="771"/>
      <c r="I31" s="771"/>
      <c r="J31" s="771"/>
      <c r="K31" s="771"/>
      <c r="L31" s="771"/>
      <c r="M31" s="771"/>
      <c r="N31" s="771"/>
    </row>
    <row r="32" spans="2:14" ht="14.45" customHeight="1" thickBot="1" x14ac:dyDescent="0.25">
      <c r="B32" s="909" t="s">
        <v>546</v>
      </c>
      <c r="C32" s="910" t="s">
        <v>1124</v>
      </c>
      <c r="D32" s="675"/>
      <c r="E32" s="675">
        <f>SUM(E31)</f>
        <v>0</v>
      </c>
      <c r="F32" s="675">
        <f>SUM(F31)</f>
        <v>0</v>
      </c>
      <c r="G32" s="773"/>
      <c r="H32" s="880"/>
      <c r="I32" s="880"/>
      <c r="J32" s="880"/>
      <c r="K32" s="880"/>
      <c r="L32" s="880"/>
      <c r="M32" s="880"/>
      <c r="N32" s="774"/>
    </row>
    <row r="33" spans="2:14" ht="14.45" customHeight="1" x14ac:dyDescent="0.2">
      <c r="B33" s="906" t="s">
        <v>547</v>
      </c>
      <c r="C33" s="895"/>
      <c r="D33" s="875"/>
      <c r="E33" s="875"/>
      <c r="F33" s="875"/>
      <c r="G33" s="907"/>
      <c r="H33" s="908"/>
      <c r="I33" s="908"/>
      <c r="J33" s="908"/>
      <c r="K33" s="908"/>
      <c r="L33" s="908"/>
      <c r="M33" s="908"/>
      <c r="N33" s="908"/>
    </row>
    <row r="34" spans="2:14" s="11" customFormat="1" ht="14.45" customHeight="1" x14ac:dyDescent="0.2">
      <c r="B34" s="883" t="s">
        <v>567</v>
      </c>
      <c r="C34" s="889" t="s">
        <v>101</v>
      </c>
      <c r="D34" s="759"/>
      <c r="E34" s="759"/>
      <c r="F34" s="759"/>
      <c r="G34" s="759"/>
      <c r="H34" s="783"/>
      <c r="I34" s="783"/>
      <c r="J34" s="783"/>
      <c r="K34" s="783"/>
      <c r="L34" s="783"/>
      <c r="M34" s="783"/>
      <c r="N34" s="783"/>
    </row>
    <row r="35" spans="2:14" s="11" customFormat="1" ht="14.45" customHeight="1" thickBot="1" x14ac:dyDescent="0.25">
      <c r="B35" s="904" t="s">
        <v>568</v>
      </c>
      <c r="C35" s="892" t="s">
        <v>102</v>
      </c>
      <c r="D35" s="893"/>
      <c r="E35" s="879">
        <v>2870</v>
      </c>
      <c r="F35" s="879">
        <f>SUM(E35)</f>
        <v>2870</v>
      </c>
      <c r="G35" s="893"/>
      <c r="H35" s="894"/>
      <c r="I35" s="894"/>
      <c r="J35" s="894"/>
      <c r="K35" s="894"/>
      <c r="L35" s="894"/>
      <c r="M35" s="894"/>
      <c r="N35" s="894"/>
    </row>
    <row r="36" spans="2:14" s="11" customFormat="1" ht="14.45" customHeight="1" thickBot="1" x14ac:dyDescent="0.25">
      <c r="B36" s="909" t="s">
        <v>569</v>
      </c>
      <c r="C36" s="910" t="s">
        <v>103</v>
      </c>
      <c r="D36" s="675">
        <f>SUM(D35:D35)</f>
        <v>0</v>
      </c>
      <c r="E36" s="675">
        <f>SUM(E35:E35)</f>
        <v>2870</v>
      </c>
      <c r="F36" s="675">
        <f>SUM(F35:F35)</f>
        <v>2870</v>
      </c>
      <c r="G36" s="911"/>
      <c r="H36" s="900"/>
      <c r="I36" s="900"/>
      <c r="J36" s="900"/>
      <c r="K36" s="900"/>
      <c r="L36" s="900"/>
      <c r="M36" s="900"/>
      <c r="N36" s="901"/>
    </row>
    <row r="37" spans="2:14" s="11" customFormat="1" ht="15.75" customHeight="1" thickBot="1" x14ac:dyDescent="0.25">
      <c r="B37" s="912" t="s">
        <v>570</v>
      </c>
      <c r="C37" s="913"/>
      <c r="D37" s="914"/>
      <c r="E37" s="914"/>
      <c r="F37" s="914"/>
      <c r="G37" s="914"/>
      <c r="H37" s="915"/>
      <c r="I37" s="915"/>
      <c r="J37" s="915"/>
      <c r="K37" s="915"/>
      <c r="L37" s="915"/>
      <c r="M37" s="915"/>
      <c r="N37" s="915"/>
    </row>
    <row r="38" spans="2:14" s="11" customFormat="1" ht="14.45" customHeight="1" thickBot="1" x14ac:dyDescent="0.25">
      <c r="B38" s="909" t="s">
        <v>571</v>
      </c>
      <c r="C38" s="910" t="s">
        <v>104</v>
      </c>
      <c r="D38" s="675">
        <f t="shared" ref="D38:I38" si="1">D16+D28+D32+D36+D24+D20</f>
        <v>0</v>
      </c>
      <c r="E38" s="675">
        <f t="shared" si="1"/>
        <v>22450</v>
      </c>
      <c r="F38" s="675">
        <f t="shared" si="1"/>
        <v>22450</v>
      </c>
      <c r="G38" s="675">
        <f t="shared" si="1"/>
        <v>0</v>
      </c>
      <c r="H38" s="675">
        <f t="shared" si="1"/>
        <v>0</v>
      </c>
      <c r="I38" s="675">
        <f t="shared" si="1"/>
        <v>0</v>
      </c>
      <c r="J38" s="900"/>
      <c r="K38" s="900"/>
      <c r="L38" s="900"/>
      <c r="M38" s="900"/>
      <c r="N38" s="901"/>
    </row>
    <row r="39" spans="2:14" s="11" customFormat="1" ht="14.45" customHeight="1" x14ac:dyDescent="0.2">
      <c r="B39" s="906" t="s">
        <v>572</v>
      </c>
      <c r="C39" s="895"/>
      <c r="D39" s="875"/>
      <c r="E39" s="875"/>
      <c r="F39" s="875"/>
      <c r="G39" s="875"/>
      <c r="H39" s="875"/>
      <c r="I39" s="875"/>
      <c r="J39" s="897"/>
      <c r="K39" s="897"/>
      <c r="L39" s="897"/>
      <c r="M39" s="897"/>
      <c r="N39" s="897"/>
    </row>
    <row r="40" spans="2:14" s="11" customFormat="1" ht="14.45" customHeight="1" x14ac:dyDescent="0.2">
      <c r="B40" s="883" t="s">
        <v>573</v>
      </c>
      <c r="C40" s="762" t="s">
        <v>1125</v>
      </c>
      <c r="D40" s="742"/>
      <c r="E40" s="742"/>
      <c r="F40" s="742"/>
      <c r="G40" s="742"/>
      <c r="H40" s="742"/>
      <c r="I40" s="742"/>
      <c r="J40" s="783"/>
      <c r="K40" s="783"/>
      <c r="L40" s="783"/>
      <c r="M40" s="783"/>
      <c r="N40" s="783"/>
    </row>
    <row r="41" spans="2:14" s="11" customFormat="1" ht="14.45" customHeight="1" x14ac:dyDescent="0.2">
      <c r="B41" s="883" t="s">
        <v>574</v>
      </c>
      <c r="C41" s="886" t="s">
        <v>1126</v>
      </c>
      <c r="D41" s="742"/>
      <c r="E41" s="742"/>
      <c r="F41" s="742"/>
      <c r="G41" s="742"/>
      <c r="H41" s="742"/>
      <c r="I41" s="742"/>
      <c r="J41" s="783"/>
      <c r="K41" s="783"/>
      <c r="L41" s="783"/>
      <c r="M41" s="783"/>
      <c r="N41" s="783"/>
    </row>
    <row r="42" spans="2:14" ht="14.45" customHeight="1" x14ac:dyDescent="0.2">
      <c r="B42" s="883" t="s">
        <v>575</v>
      </c>
      <c r="C42" s="854"/>
      <c r="D42" s="745"/>
      <c r="E42" s="745"/>
      <c r="F42" s="745"/>
      <c r="G42" s="744"/>
      <c r="H42" s="744"/>
      <c r="I42" s="744"/>
      <c r="J42" s="746"/>
      <c r="K42" s="746"/>
      <c r="L42" s="746"/>
      <c r="M42" s="746"/>
      <c r="N42" s="746"/>
    </row>
    <row r="43" spans="2:14" ht="14.45" customHeight="1" thickBot="1" x14ac:dyDescent="0.25">
      <c r="B43" s="904" t="s">
        <v>627</v>
      </c>
      <c r="C43" s="916" t="s">
        <v>1129</v>
      </c>
      <c r="D43" s="767">
        <f t="shared" ref="D43:F44" si="2">SUM(D42)</f>
        <v>0</v>
      </c>
      <c r="E43" s="767">
        <f t="shared" si="2"/>
        <v>0</v>
      </c>
      <c r="F43" s="767">
        <f t="shared" si="2"/>
        <v>0</v>
      </c>
      <c r="G43" s="879"/>
      <c r="H43" s="879"/>
      <c r="I43" s="879"/>
      <c r="J43" s="771"/>
      <c r="K43" s="771"/>
      <c r="L43" s="771"/>
      <c r="M43" s="771"/>
      <c r="N43" s="771"/>
    </row>
    <row r="44" spans="2:14" ht="14.45" customHeight="1" thickBot="1" x14ac:dyDescent="0.25">
      <c r="B44" s="909" t="s">
        <v>628</v>
      </c>
      <c r="C44" s="910" t="s">
        <v>1130</v>
      </c>
      <c r="D44" s="683">
        <f t="shared" si="2"/>
        <v>0</v>
      </c>
      <c r="E44" s="683">
        <f t="shared" si="2"/>
        <v>0</v>
      </c>
      <c r="F44" s="683">
        <f t="shared" si="2"/>
        <v>0</v>
      </c>
      <c r="G44" s="917"/>
      <c r="H44" s="917"/>
      <c r="I44" s="917"/>
      <c r="J44" s="880"/>
      <c r="K44" s="880"/>
      <c r="L44" s="880"/>
      <c r="M44" s="880"/>
      <c r="N44" s="774"/>
    </row>
    <row r="45" spans="2:14" ht="14.45" customHeight="1" thickBot="1" x14ac:dyDescent="0.25">
      <c r="B45" s="912" t="s">
        <v>629</v>
      </c>
      <c r="C45" s="918"/>
      <c r="D45" s="919"/>
      <c r="E45" s="919"/>
      <c r="F45" s="919"/>
      <c r="G45" s="920"/>
      <c r="H45" s="920"/>
      <c r="I45" s="920"/>
      <c r="J45" s="921"/>
      <c r="K45" s="921"/>
      <c r="L45" s="921"/>
      <c r="M45" s="921"/>
      <c r="N45" s="921"/>
    </row>
    <row r="46" spans="2:14" ht="14.45" customHeight="1" thickBot="1" x14ac:dyDescent="0.25">
      <c r="B46" s="909" t="s">
        <v>630</v>
      </c>
      <c r="C46" s="910" t="s">
        <v>1013</v>
      </c>
      <c r="D46" s="675">
        <f>D38+D42</f>
        <v>0</v>
      </c>
      <c r="E46" s="675">
        <f>E38+E42</f>
        <v>22450</v>
      </c>
      <c r="F46" s="675">
        <f>F38+F42</f>
        <v>22450</v>
      </c>
      <c r="G46" s="917"/>
      <c r="H46" s="917"/>
      <c r="I46" s="917"/>
      <c r="J46" s="880"/>
      <c r="K46" s="880"/>
      <c r="L46" s="880"/>
      <c r="M46" s="880"/>
      <c r="N46" s="774"/>
    </row>
  </sheetData>
  <sheetProtection selectLockedCells="1" selectUnlockedCells="1"/>
  <mergeCells count="9">
    <mergeCell ref="J7:K7"/>
    <mergeCell ref="L7:N7"/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8" scale="98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33</vt:i4>
      </vt:variant>
      <vt:variant>
        <vt:lpstr>Névvel ellátott tartományok</vt:lpstr>
      </vt:variant>
      <vt:variant>
        <vt:i4>9</vt:i4>
      </vt:variant>
    </vt:vector>
  </HeadingPairs>
  <TitlesOfParts>
    <vt:vector size="42" baseType="lpstr">
      <vt:lpstr>Össz.önkor.mérleg.</vt:lpstr>
      <vt:lpstr>működ. mérleg </vt:lpstr>
      <vt:lpstr>felhalm. mérleg</vt:lpstr>
      <vt:lpstr>2019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Munka3</vt:lpstr>
      <vt:lpstr>Munka6</vt:lpstr>
      <vt:lpstr>Munka2</vt:lpstr>
      <vt:lpstr>likvid</vt:lpstr>
      <vt:lpstr>Munka1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2019-06-18T08:53:27Z</cp:lastPrinted>
  <dcterms:created xsi:type="dcterms:W3CDTF">2013-12-16T15:47:29Z</dcterms:created>
  <dcterms:modified xsi:type="dcterms:W3CDTF">2019-07-18T13:49:45Z</dcterms:modified>
</cp:coreProperties>
</file>